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MADRID\"/>
    </mc:Choice>
  </mc:AlternateContent>
  <workbookProtection workbookAlgorithmName="SHA-512" workbookHashValue="NAac505wmTFVE6cqegVMdhzw+1NfPDHl2GAiX/eAUst/lfBGsM0m815NLEnZkPE0xbPR1/iQe3LzWDxbai0bow==" workbookSaltValue="g/5suSchDsY0C+NCtII0c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J21" i="20"/>
  <c r="H21" i="20"/>
  <c r="AN21" i="20"/>
  <c r="AA21" i="20"/>
  <c r="AK21" i="27"/>
  <c r="AB21" i="20"/>
  <c r="I21" i="27"/>
  <c r="H21" i="27"/>
  <c r="AY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AV21" i="20"/>
  <c r="F21" i="20"/>
  <c r="AL21" i="27"/>
  <c r="K21" i="27"/>
  <c r="X21" i="27"/>
  <c r="T21" i="27"/>
  <c r="T21" i="21"/>
  <c r="AH21" i="27"/>
  <c r="AO21" i="20"/>
  <c r="G19" i="14"/>
  <c r="BJ21" i="26"/>
  <c r="AC21" i="27"/>
  <c r="AC21" i="20"/>
  <c r="BF18" i="8" l="1"/>
  <c r="B13" i="2"/>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X21" i="26"/>
  <c r="N21" i="26"/>
  <c r="BM21" i="26"/>
  <c r="BB21" i="26"/>
  <c r="AW21" i="26"/>
  <c r="AR21" i="26"/>
  <c r="T21" i="26"/>
  <c r="AI21" i="26"/>
  <c r="P21" i="26"/>
  <c r="AS21" i="26"/>
  <c r="AQ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J21" i="26"/>
  <c r="AB21" i="26"/>
  <c r="I21" i="26"/>
  <c r="AH21" i="26"/>
  <c r="AK21" i="26"/>
  <c r="AP21" i="26"/>
  <c r="Q21" i="26"/>
  <c r="BF21" i="26"/>
  <c r="AC21" i="26"/>
  <c r="AV21" i="26"/>
  <c r="V21" i="27"/>
  <c r="BE21" i="26"/>
  <c r="U21" i="27"/>
  <c r="AY21" i="26"/>
  <c r="AF21" i="26"/>
  <c r="AG21" i="26"/>
  <c r="BH21" i="26"/>
  <c r="AT21" i="26"/>
  <c r="U18" i="11"/>
  <c r="I21" i="20"/>
  <c r="AT21" i="27"/>
  <c r="AW21" i="11"/>
  <c r="O10" i="11"/>
  <c r="AA21" i="27"/>
  <c r="BR21" i="16"/>
  <c r="BP21" i="16"/>
  <c r="AX21" i="21"/>
  <c r="AV21" i="21"/>
  <c r="H21" i="17"/>
  <c r="I15" i="12" l="1"/>
  <c r="K12" i="12"/>
  <c r="G20" i="7"/>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AE21" i="21"/>
  <c r="I21" i="11"/>
  <c r="BK21" i="16"/>
  <c r="L21" i="21"/>
  <c r="X21" i="17"/>
  <c r="AG21" i="17"/>
  <c r="AW21" i="21"/>
  <c r="AZ21" i="11"/>
  <c r="J21" i="11"/>
  <c r="AM21" i="16"/>
  <c r="BE21" i="16"/>
  <c r="M21" i="21"/>
  <c r="AF21" i="17"/>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X21" i="21"/>
  <c r="AF21" i="11"/>
  <c r="AY21" i="16"/>
  <c r="AC21" i="17"/>
  <c r="AN21" i="16"/>
  <c r="AG21" i="11"/>
  <c r="O21" i="17"/>
  <c r="Z21" i="11"/>
  <c r="AG21" i="16"/>
  <c r="U21" i="16"/>
  <c r="BS21" i="16"/>
  <c r="AY21" i="11"/>
  <c r="BN21" i="16"/>
  <c r="E21" i="17"/>
  <c r="AF21" i="16"/>
  <c r="K21" i="17"/>
  <c r="AP21" i="21"/>
  <c r="K21" i="11"/>
  <c r="E21" i="16"/>
  <c r="AJ21" i="21"/>
  <c r="D21" i="12"/>
  <c r="E21" i="21"/>
  <c r="Q21" i="11"/>
  <c r="AT21" i="17"/>
  <c r="N21" i="11"/>
  <c r="N21" i="16"/>
  <c r="AR21" i="21"/>
  <c r="AT21" i="16"/>
  <c r="AJ21" i="17"/>
  <c r="V21" i="16"/>
  <c r="BE21" i="21"/>
  <c r="AN21" i="17"/>
  <c r="F21" i="17"/>
  <c r="AS21" i="17"/>
  <c r="AJ21" i="16"/>
  <c r="AQ21" i="16"/>
  <c r="I21" i="12"/>
  <c r="AL21" i="16"/>
  <c r="AB21" i="21"/>
  <c r="AL21" i="21"/>
  <c r="K20" i="12" l="1"/>
  <c r="DD17" i="16"/>
  <c r="DD12" i="16"/>
  <c r="DD10" i="16"/>
  <c r="DC9" i="16"/>
  <c r="DC17" i="16"/>
  <c r="DD9" i="16"/>
  <c r="DD18" i="16"/>
  <c r="DC15" i="16"/>
  <c r="DD15" i="16"/>
  <c r="DD11" i="16"/>
  <c r="DC10" i="16"/>
  <c r="DD16" i="16"/>
  <c r="DC12" i="16"/>
  <c r="DC16" i="16"/>
  <c r="DC18" i="16"/>
  <c r="DC11" i="16"/>
  <c r="CR16" i="16"/>
  <c r="CR18" i="16"/>
  <c r="CR17" i="16"/>
  <c r="CQ16" i="16"/>
  <c r="CQ12" i="16"/>
  <c r="CQ10" i="16"/>
  <c r="CR15" i="16"/>
  <c r="CQ9" i="16"/>
  <c r="CQ11" i="16"/>
  <c r="CR10" i="16"/>
  <c r="CQ15" i="16"/>
  <c r="CR12" i="16"/>
  <c r="CQ17" i="16"/>
  <c r="CR9" i="16"/>
  <c r="CR11" i="16"/>
  <c r="CQ18" i="16"/>
  <c r="ER16" i="16"/>
  <c r="EQ16" i="16"/>
  <c r="EQ12" i="16"/>
  <c r="ER12" i="16"/>
  <c r="EQ9" i="16"/>
  <c r="EQ18" i="16"/>
  <c r="EQ10" i="16"/>
  <c r="EQ11" i="16"/>
  <c r="ER11" i="16"/>
  <c r="ER17" i="16"/>
  <c r="EQ15" i="16"/>
  <c r="ER15" i="16"/>
  <c r="ER9" i="16"/>
  <c r="ER10" i="16"/>
  <c r="EQ17" i="16"/>
  <c r="ER18" i="16"/>
  <c r="AQ21" i="17"/>
  <c r="CF16" i="16"/>
  <c r="CF9" i="16"/>
  <c r="CF12" i="16"/>
  <c r="CE16" i="16"/>
  <c r="CF10" i="16"/>
  <c r="CE17" i="16"/>
  <c r="CE15" i="16"/>
  <c r="CF11" i="16"/>
  <c r="CE10" i="16"/>
  <c r="CE11" i="16"/>
  <c r="CF18" i="16"/>
  <c r="CE9" i="16"/>
  <c r="CF17" i="16"/>
  <c r="CE18" i="16"/>
  <c r="CF15" i="16"/>
  <c r="CE12" i="16"/>
  <c r="BZ16" i="16"/>
  <c r="BY10" i="16"/>
  <c r="BY17" i="16"/>
  <c r="BZ12" i="16"/>
  <c r="BL21" i="16"/>
  <c r="BY16" i="16"/>
  <c r="BY9" i="16"/>
  <c r="BY18" i="16"/>
  <c r="BY15" i="16"/>
  <c r="BZ9" i="16"/>
  <c r="BZ11" i="16"/>
  <c r="BZ15" i="16"/>
  <c r="BZ17" i="16"/>
  <c r="BY12" i="16"/>
  <c r="BZ18" i="16"/>
  <c r="BY11" i="16"/>
  <c r="BZ10" i="16"/>
  <c r="CH16" i="16"/>
  <c r="CH12" i="16"/>
  <c r="CH10" i="16"/>
  <c r="CH9" i="16"/>
  <c r="CI16" i="16"/>
  <c r="CH11" i="16"/>
  <c r="CI18" i="16"/>
  <c r="CH17" i="16"/>
  <c r="CI11" i="16"/>
  <c r="CI12" i="16"/>
  <c r="CI17" i="16"/>
  <c r="CI10" i="16"/>
  <c r="CI9" i="16"/>
  <c r="CH15" i="16"/>
  <c r="CH18" i="16"/>
  <c r="CI15" i="16"/>
  <c r="CL18" i="16"/>
  <c r="CL16" i="16"/>
  <c r="CL17" i="16"/>
  <c r="CL15" i="16"/>
  <c r="CL11" i="16"/>
  <c r="CK15" i="16"/>
  <c r="CL10" i="16"/>
  <c r="CK9" i="16"/>
  <c r="CK16" i="16"/>
  <c r="CK11" i="16"/>
  <c r="CK18" i="16"/>
  <c r="CK17" i="16"/>
  <c r="CK12" i="16"/>
  <c r="CL9" i="16"/>
  <c r="CL12" i="16"/>
  <c r="CK10" i="16"/>
  <c r="EM18" i="16"/>
  <c r="EM11" i="16"/>
  <c r="EM17" i="16"/>
  <c r="EN16" i="16"/>
  <c r="EM16" i="16"/>
  <c r="EM10" i="16"/>
  <c r="EN18" i="16"/>
  <c r="EN15" i="16"/>
  <c r="EN17" i="16"/>
  <c r="EN9" i="16"/>
  <c r="EM12" i="16"/>
  <c r="EM15" i="16"/>
  <c r="EN10" i="16"/>
  <c r="EN11" i="16"/>
  <c r="EM9" i="16"/>
  <c r="EN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EI16" i="16"/>
  <c r="EJ12" i="16"/>
  <c r="EJ10" i="16"/>
  <c r="EI10" i="16"/>
  <c r="EI11" i="16"/>
  <c r="EJ18" i="16"/>
  <c r="EJ16" i="16"/>
  <c r="EI17" i="16"/>
  <c r="EJ15" i="16"/>
  <c r="EI9" i="16"/>
  <c r="EJ9" i="16"/>
  <c r="EJ11" i="16"/>
  <c r="EI12" i="16"/>
  <c r="EI18" i="16"/>
  <c r="EJ17" i="16"/>
  <c r="EI15" i="16"/>
  <c r="DH16" i="16"/>
  <c r="DG10" i="16"/>
  <c r="DH18" i="16"/>
  <c r="DH17" i="16"/>
  <c r="DG16" i="16"/>
  <c r="DG17" i="16"/>
  <c r="DH15" i="16"/>
  <c r="DG12" i="16"/>
  <c r="DG9" i="16"/>
  <c r="DH11" i="16"/>
  <c r="DG15" i="16"/>
  <c r="DH10" i="16"/>
  <c r="DH12" i="16"/>
  <c r="DH9" i="16"/>
  <c r="DG18" i="16"/>
  <c r="DG11" i="16"/>
  <c r="CC16" i="16"/>
  <c r="CB10" i="16"/>
  <c r="CB18" i="16"/>
  <c r="CB12" i="16"/>
  <c r="CB16" i="16"/>
  <c r="CB15" i="16"/>
  <c r="CC12" i="16"/>
  <c r="CC15" i="16"/>
  <c r="CC9" i="16"/>
  <c r="CB9" i="16"/>
  <c r="CC17" i="16"/>
  <c r="CC11" i="16"/>
  <c r="CB17" i="16"/>
  <c r="CB11" i="16"/>
  <c r="CC18" i="16"/>
  <c r="CC10"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<sst xmlns="http://schemas.openxmlformats.org/spreadsheetml/2006/main" count="2499" uniqueCount="1026">
  <si>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</si>
  <si>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</si>
  <si>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</si>
  <si>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</si>
  <si>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</si>
  <si>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</si>
  <si>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</si>
  <si>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</si>
  <si>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</si>
  <si>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</si>
  <si>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</si>
  <si>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</si>
  <si>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</si>
  <si>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</si>
  <si>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</si>
  <si>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</si>
  <si>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</si>
  <si>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</si>
  <si>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</si>
  <si>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</si>
  <si>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</si>
  <si>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</si>
  <si>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</si>
  <si>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</si>
  <si>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</si>
  <si>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</si>
  <si>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</si>
  <si>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</si>
  <si>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</si>
  <si>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</si>
  <si>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</si>
  <si>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</si>
  <si>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</si>
  <si>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</si>
  <si>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</si>
  <si>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</si>
  <si>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</si>
  <si>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</si>
  <si>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</si>
  <si>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</si>
  <si>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</si>
  <si>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</si>
  <si>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</si>
  <si>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</si>
  <si>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</si>
  <si>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</si>
  <si>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</si>
  <si>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</si>
  <si>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</si>
  <si>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</si>
  <si>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</si>
  <si>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</si>
  <si>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</si>
  <si>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</si>
  <si>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</si>
  <si>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</si>
  <si>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</si>
  <si>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</si>
  <si>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</si>
  <si>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</si>
  <si>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</si>
  <si>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</si>
  <si>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</si>
  <si>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</si>
  <si>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</si>
  <si>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</si>
  <si>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</si>
  <si>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</si>
  <si>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</si>
  <si>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</si>
  <si>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</si>
  <si>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</si>
  <si>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</si>
  <si>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</si>
  <si>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</si>
  <si>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</si>
  <si>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</si>
  <si>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</si>
  <si>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</si>
  <si>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</si>
  <si>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</si>
  <si>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</si>
  <si>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</si>
  <si>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</si>
  <si>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</si>
  <si>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</si>
  <si>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</si>
  <si>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</si>
  <si>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</si>
  <si>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</si>
  <si>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</si>
  <si>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</si>
  <si>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</si>
  <si>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</si>
  <si>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</si>
  <si>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</si>
  <si>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</si>
  <si>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</si>
  <si>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</si>
  <si>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</si>
  <si>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</si>
  <si>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</si>
  <si>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</si>
  <si>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</si>
  <si>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</si>
  <si>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</si>
  <si>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</si>
  <si>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</si>
  <si>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</si>
  <si>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</si>
  <si>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</si>
  <si>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</si>
  <si>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</si>
  <si>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</si>
  <si>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</si>
  <si>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</si>
  <si>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</si>
  <si>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</si>
  <si>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</si>
  <si>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</si>
  <si>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</si>
  <si>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</si>
  <si>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</si>
  <si>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</si>
  <si>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</si>
  <si>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</si>
  <si>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</si>
  <si>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</si>
  <si>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</si>
  <si>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</si>
  <si>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</si>
  <si>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</si>
  <si>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</si>
  <si>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</si>
  <si>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</si>
  <si>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</si>
  <si>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</si>
  <si>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</si>
  <si>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</si>
  <si>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</si>
  <si>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</si>
  <si>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</si>
  <si>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</si>
  <si>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</si>
  <si>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</si>
  <si>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</si>
  <si>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</si>
  <si>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</si>
  <si>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</si>
  <si>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</si>
  <si>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</si>
  <si>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</si>
  <si>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</si>
  <si>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</si>
  <si>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</si>
  <si>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</si>
  <si>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</si>
  <si>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</si>
  <si>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</si>
  <si>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</si>
  <si>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</si>
  <si>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</si>
  <si>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</si>
  <si>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</si>
  <si>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</si>
  <si>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</si>
  <si>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</si>
  <si>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</si>
  <si>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</si>
  <si>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</si>
  <si>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</si>
  <si>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</si>
  <si>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</si>
  <si>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</si>
  <si>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</si>
  <si>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</si>
  <si>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</si>
  <si>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</si>
  <si>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</si>
  <si>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</si>
  <si>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</si>
  <si>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</si>
  <si>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</si>
  <si>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</si>
  <si>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</si>
  <si>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</si>
  <si>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</si>
  <si>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</si>
  <si>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</si>
  <si>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</si>
  <si>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</si>
  <si>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</si>
  <si>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</si>
  <si>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</si>
  <si>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</si>
  <si>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</si>
  <si>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</si>
  <si>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</si>
  <si>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</si>
  <si>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</si>
  <si>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</si>
  <si>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</si>
  <si>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</si>
  <si>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</si>
  <si>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</si>
  <si>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</si>
  <si>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</si>
  <si>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</si>
  <si>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</si>
  <si>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</si>
  <si>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</si>
  <si>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</si>
  <si>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</si>
  <si>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</si>
  <si>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</si>
  <si>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</si>
  <si>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</si>
  <si>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</si>
  <si>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</si>
  <si>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</si>
  <si>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</si>
  <si>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</si>
  <si>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</si>
  <si>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</si>
  <si>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</si>
  <si>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</si>
  <si>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</si>
  <si>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</si>
  <si>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</si>
  <si>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</si>
  <si>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</si>
  <si>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</si>
  <si>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</si>
  <si>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</si>
  <si>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</si>
  <si>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</si>
  <si>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</si>
  <si>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</si>
  <si>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</si>
  <si>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</si>
  <si>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</si>
  <si>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</si>
  <si>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</si>
  <si>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</si>
  <si>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</si>
  <si>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</si>
  <si>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</si>
  <si>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</si>
  <si>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</si>
  <si>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</si>
  <si>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</si>
  <si>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</si>
  <si>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</si>
  <si>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</si>
  <si>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</si>
  <si>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</si>
  <si>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</si>
  <si>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</si>
  <si>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</si>
  <si>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</si>
  <si>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</si>
  <si>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</si>
  <si>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</si>
  <si>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</si>
  <si>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</si>
  <si>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</si>
  <si>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</si>
  <si>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</si>
  <si>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</si>
  <si>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</si>
  <si>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</si>
  <si>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</si>
  <si>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</si>
  <si>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</si>
  <si>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</si>
  <si>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</si>
  <si>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</si>
  <si>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</si>
  <si>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</si>
  <si>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</si>
  <si>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</si>
  <si>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</si>
  <si>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</si>
  <si>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</si>
  <si>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</si>
  <si>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</si>
  <si>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</si>
  <si>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</si>
  <si>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</si>
  <si>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</si>
  <si>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</si>
  <si>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</si>
  <si>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</si>
  <si>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</si>
  <si>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</si>
  <si>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</si>
  <si>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</si>
  <si>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</si>
  <si>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</si>
  <si>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</si>
  <si>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</si>
  <si>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</si>
  <si>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</si>
  <si>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</si>
  <si>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</si>
  <si>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</si>
  <si>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</si>
  <si>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</si>
  <si>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</si>
  <si>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</si>
  <si>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</si>
  <si>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</si>
  <si>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</si>
  <si>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</si>
  <si>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</si>
  <si>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</si>
  <si>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</si>
  <si>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</si>
  <si>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</si>
  <si>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</si>
  <si>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</si>
  <si>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</si>
  <si>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</si>
  <si>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</si>
  <si>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</si>
  <si>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</si>
  <si>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</si>
  <si>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</si>
  <si>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</si>
  <si>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</si>
  <si>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</si>
  <si>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</si>
  <si>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</si>
  <si>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</si>
  <si>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</si>
  <si>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</si>
  <si>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</si>
  <si>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</si>
  <si>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</si>
  <si>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</si>
  <si>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</si>
  <si>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</si>
  <si>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</si>
  <si>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</si>
  <si>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</si>
  <si>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</si>
  <si>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</si>
  <si>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</si>
  <si>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</si>
  <si>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</si>
  <si>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</si>
  <si>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</si>
  <si>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</si>
  <si>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</si>
  <si>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</si>
  <si>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</si>
  <si>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</si>
  <si>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</si>
  <si>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</si>
  <si>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</si>
  <si>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</si>
  <si>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</si>
  <si>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</si>
  <si>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</si>
  <si>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</si>
  <si>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</si>
  <si>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</si>
  <si>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</si>
  <si>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</si>
  <si>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</si>
  <si>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</si>
  <si>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</si>
  <si>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</si>
  <si>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</si>
  <si>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</si>
  <si>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</si>
  <si>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</si>
  <si>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</si>
  <si>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</si>
  <si>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</si>
  <si>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</si>
  <si>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</si>
  <si>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</si>
  <si>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</si>
  <si>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</si>
  <si>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</si>
  <si>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</si>
  <si>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</si>
  <si>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</si>
  <si>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</si>
  <si>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</si>
  <si>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</si>
  <si>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</si>
  <si>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</si>
  <si>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</si>
  <si>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</si>
  <si>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</si>
  <si>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</si>
  <si>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</si>
  <si>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</si>
  <si>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</si>
  <si>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</si>
  <si>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</si>
  <si>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</si>
  <si>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</si>
  <si>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</si>
  <si>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</si>
  <si>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</si>
  <si>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</si>
  <si>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</si>
  <si>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</si>
  <si>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</si>
  <si>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</si>
  <si>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</si>
  <si>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</si>
  <si>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</si>
  <si>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</si>
  <si>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</si>
  <si>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</si>
  <si>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</si>
  <si>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</si>
  <si>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</si>
  <si>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</si>
  <si>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</si>
  <si>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</si>
  <si>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</si>
  <si>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</si>
  <si>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</si>
  <si>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</si>
  <si>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</si>
  <si>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</si>
  <si>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</si>
  <si>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</si>
  <si>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</si>
  <si>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</si>
  <si>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</si>
  <si>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</si>
  <si>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</si>
  <si>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</si>
  <si>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</si>
  <si>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</si>
  <si>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</si>
  <si>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</si>
  <si>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</si>
  <si>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</si>
  <si>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</si>
  <si>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</si>
  <si>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</si>
  <si>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</si>
  <si>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</si>
  <si>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</si>
  <si>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</si>
  <si>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</si>
  <si>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</si>
  <si>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</si>
  <si>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</si>
  <si>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</si>
  <si>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</si>
  <si>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</si>
  <si>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</si>
  <si>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</si>
  <si>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</si>
  <si>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</si>
  <si>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</si>
  <si>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</si>
  <si>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</si>
  <si>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</si>
  <si>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</si>
  <si>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</si>
  <si>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</si>
  <si>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</si>
  <si>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</si>
  <si>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</si>
  <si>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</si>
  <si>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</si>
  <si>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</si>
  <si>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</si>
  <si>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</si>
  <si>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</si>
  <si>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</si>
  <si>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</si>
  <si>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</si>
  <si>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</si>
  <si>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</si>
  <si>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</si>
  <si>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</si>
  <si>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</si>
  <si>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</si>
  <si>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</si>
  <si>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</si>
  <si>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</si>
  <si>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</si>
  <si>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</si>
  <si>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</si>
  <si>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</si>
  <si>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</si>
  <si>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</si>
  <si>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</si>
  <si>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</si>
  <si>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</si>
  <si>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</si>
  <si>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</si>
  <si>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</si>
  <si>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</si>
  <si>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</si>
  <si>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</si>
  <si>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</si>
  <si>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</si>
  <si>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</si>
  <si>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</si>
  <si>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</si>
  <si>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</si>
  <si>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</si>
  <si>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</si>
  <si>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</si>
  <si>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</si>
  <si>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</si>
  <si>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</si>
  <si>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</si>
  <si>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</si>
  <si>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</si>
  <si>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</si>
  <si>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</si>
  <si>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</si>
  <si>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</si>
  <si>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</si>
  <si>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</si>
  <si>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</si>
  <si>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</si>
  <si>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</si>
  <si>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</si>
  <si>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</si>
  <si>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</si>
  <si>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</si>
  <si>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</si>
  <si>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</si>
  <si>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</si>
  <si>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</si>
  <si>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</si>
  <si>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</si>
  <si>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</si>
  <si>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</si>
  <si>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</si>
  <si>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</si>
  <si>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</si>
  <si>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</si>
  <si>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</si>
  <si>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</si>
  <si>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</si>
  <si>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</si>
  <si>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</si>
  <si>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</si>
  <si>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</si>
  <si>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</si>
  <si>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</si>
  <si>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</si>
  <si>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</si>
  <si>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</si>
  <si>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</si>
  <si>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</si>
  <si>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</si>
  <si>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</si>
  <si>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</si>
  <si>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</si>
  <si>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</si>
  <si>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</si>
  <si>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</si>
  <si>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</si>
  <si>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</si>
  <si>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</si>
  <si>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</si>
  <si>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</si>
  <si>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</si>
  <si>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</si>
  <si>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</si>
  <si>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</si>
  <si>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</si>
  <si>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</si>
  <si>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</si>
  <si>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</si>
  <si>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</si>
  <si>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</si>
  <si>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</si>
  <si>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</si>
  <si>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</si>
  <si>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</si>
  <si>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</si>
  <si>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</si>
  <si>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</si>
  <si>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</si>
  <si>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</si>
  <si>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</si>
  <si>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</si>
  <si>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</si>
  <si>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</si>
  <si>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</si>
  <si>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</si>
  <si>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</si>
  <si>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</si>
  <si>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</si>
  <si>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</si>
  <si>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</si>
  <si>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</si>
  <si>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</si>
  <si>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</si>
  <si>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</si>
  <si>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</si>
  <si>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</si>
  <si>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</si>
  <si>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</si>
  <si>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</si>
  <si>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</si>
  <si>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</si>
  <si>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</si>
  <si>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</si>
  <si>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</si>
  <si>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</si>
  <si>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</si>
  <si>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</si>
  <si>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</si>
  <si>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</si>
  <si>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</si>
  <si>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</si>
  <si>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</si>
  <si>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</si>
  <si>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</si>
  <si>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</si>
  <si>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</si>
  <si>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</si>
  <si>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</si>
  <si>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</si>
  <si>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</si>
  <si>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</si>
  <si>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</si>
  <si>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</si>
  <si>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</si>
  <si>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</si>
  <si>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</si>
  <si>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</si>
  <si>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</si>
  <si>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</si>
  <si>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</si>
  <si>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</si>
  <si>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</si>
  <si>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</si>
  <si>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</si>
  <si>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</si>
  <si>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</si>
  <si>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</si>
  <si>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</si>
  <si>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</si>
  <si>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</si>
  <si>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</si>
  <si>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</si>
  <si>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</si>
  <si>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</si>
  <si>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</si>
  <si>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</si>
  <si>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</si>
  <si>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</si>
  <si>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</si>
  <si>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</si>
  <si>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</si>
  <si>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</si>
  <si>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</si>
  <si>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</si>
  <si>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</si>
  <si>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</si>
  <si>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</si>
  <si>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</si>
  <si>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</si>
  <si>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</si>
  <si>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</si>
  <si>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</si>
  <si>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</si>
  <si>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</si>
  <si>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</si>
  <si>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</si>
  <si>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</si>
  <si>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</si>
  <si>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</si>
  <si>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</si>
  <si>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</si>
  <si>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</si>
  <si>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</si>
  <si>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</si>
  <si>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</si>
  <si>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</si>
  <si>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</si>
  <si>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</si>
  <si>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</si>
  <si>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</si>
  <si>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</si>
  <si>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</si>
  <si>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</si>
  <si>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</si>
  <si>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</si>
  <si>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</si>
  <si>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</si>
  <si>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</si>
  <si>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</si>
  <si>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</si>
  <si>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</si>
  <si>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</si>
  <si>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</si>
  <si>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</si>
  <si>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</si>
  <si>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</si>
  <si>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</si>
  <si>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</si>
  <si>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</si>
  <si>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</si>
  <si>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</si>
  <si>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</si>
  <si>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</si>
  <si>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</si>
  <si>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</si>
  <si>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</si>
  <si>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</si>
  <si>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</si>
  <si>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</si>
  <si>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</si>
  <si>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</si>
  <si>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</si>
  <si>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</si>
  <si>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</si>
  <si>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</si>
  <si>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</si>
  <si>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</si>
  <si>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</si>
  <si>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</si>
  <si>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</si>
  <si>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</si>
  <si>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</si>
  <si>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</si>
  <si>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</si>
  <si>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</si>
  <si>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</si>
  <si>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</si>
  <si>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</si>
  <si>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</si>
  <si>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</si>
  <si>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</si>
  <si>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</si>
  <si>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</si>
  <si>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</si>
  <si>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</si>
  <si>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</si>
  <si>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</si>
  <si>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</si>
  <si>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</si>
  <si>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</si>
  <si>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</si>
  <si>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</si>
  <si>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</si>
  <si>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</si>
  <si>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</si>
  <si>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</si>
  <si>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</si>
  <si>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</si>
  <si>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</si>
  <si>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</si>
  <si>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</si>
  <si>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</si>
  <si>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</si>
  <si>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</si>
  <si>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</si>
  <si>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</si>
  <si>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</si>
  <si>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</si>
  <si>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</si>
  <si>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</si>
  <si>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</si>
  <si>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</si>
  <si>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</si>
  <si>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</si>
  <si>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</si>
  <si>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</si>
  <si>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</si>
  <si>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</si>
  <si>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</si>
  <si>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</si>
  <si>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</si>
  <si>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</si>
  <si>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</si>
  <si>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</si>
  <si>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</si>
  <si>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</si>
  <si>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</si>
  <si>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</si>
  <si>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</si>
  <si>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</si>
  <si>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</si>
  <si>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</si>
  <si>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</si>
  <si>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</si>
  <si>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</si>
  <si>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</si>
  <si>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</si>
  <si>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</si>
  <si>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</si>
  <si>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</si>
  <si>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</si>
  <si>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</si>
  <si>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</si>
  <si>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</si>
  <si>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</si>
  <si>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</si>
  <si>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</si>
  <si>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</si>
  <si>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</si>
  <si>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</si>
  <si>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</si>
  <si>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</si>
  <si>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</si>
  <si>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</si>
  <si>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</si>
  <si>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</si>
  <si>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</si>
  <si>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</si>
  <si>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</si>
  <si>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</si>
  <si>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</si>
  <si>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</si>
  <si>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</si>
  <si>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</si>
  <si>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</si>
  <si>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</si>
  <si>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</si>
  <si>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</si>
  <si>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</si>
  <si>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</si>
  <si>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</si>
  <si>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</si>
  <si>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</si>
  <si>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</si>
  <si>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</si>
  <si>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</si>
  <si>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</si>
  <si>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</si>
  <si>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</si>
  <si>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</si>
  <si>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</si>
  <si>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</si>
  <si>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</si>
  <si>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</si>
  <si>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</si>
  <si>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</si>
  <si>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</si>
  <si>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</si>
  <si>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</si>
  <si>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</si>
  <si>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</si>
  <si>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</si>
  <si>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</si>
  <si>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</si>
  <si>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</si>
  <si>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</si>
  <si>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</si>
  <si>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</si>
  <si>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</si>
  <si>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</si>
  <si>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</si>
  <si>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</si>
  <si>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</si>
  <si>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</si>
  <si>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</si>
  <si>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</si>
  <si>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</si>
  <si>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</si>
  <si>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</si>
  <si>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</si>
  <si>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</si>
  <si>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</si>
  <si>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</si>
  <si>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</si>
  <si>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</si>
  <si>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</si>
  <si>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</si>
  <si>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</si>
  <si>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</si>
  <si>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</si>
  <si>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</si>
  <si>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</si>
  <si>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</si>
  <si>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</si>
  <si>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</si>
  <si>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</si>
  <si>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</si>
  <si>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</si>
  <si>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</si>
  <si>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</si>
  <si>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</si>
  <si>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</si>
  <si>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</si>
  <si>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</si>
  <si>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</si>
  <si>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</si>
  <si>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</si>
  <si>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</si>
  <si>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</si>
  <si>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</si>
  <si>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</si>
  <si>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</si>
  <si>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</si>
  <si>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</si>
  <si>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</si>
  <si>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</si>
  <si>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</si>
  <si>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</si>
  <si>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</si>
  <si>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</si>
  <si>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</si>
  <si>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</si>
  <si>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</si>
  <si>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</si>
  <si>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</si>
  <si>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</si>
  <si>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</si>
  <si>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</si>
  <si>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</si>
  <si>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</si>
  <si>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</si>
  <si>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</si>
  <si>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</si>
  <si>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</si>
  <si>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</si>
  <si>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</si>
  <si>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</si>
  <si>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</si>
  <si>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</si>
  <si>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</si>
  <si>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</si>
  <si>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</si>
  <si>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</si>
  <si>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</si>
  <si>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</si>
  <si>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</si>
  <si>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</si>
  <si>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</si>
  <si>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</si>
  <si>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</si>
  <si>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</si>
  <si>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</si>
  <si>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</si>
  <si>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</si>
  <si>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</si>
  <si>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</si>
  <si>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</si>
  <si>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</si>
  <si>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</si>
  <si>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</si>
  <si>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</si>
  <si>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</si>
  <si>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</si>
  <si>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</si>
  <si>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</si>
  <si>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</si>
  <si>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</si>
  <si>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</si>
  <si>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</si>
  <si>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</si>
  <si>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</si>
  <si>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</si>
  <si>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</si>
  <si>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</si>
  <si>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</si>
  <si>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</si>
  <si>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</si>
  <si>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</si>
  <si>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</si>
  <si>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</si>
  <si>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</si>
  <si>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</si>
  <si>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</si>
  <si>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</si>
  <si>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</si>
  <si>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</si>
  <si>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</si>
  <si>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</si>
  <si>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</si>
  <si>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</si>
  <si>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</si>
  <si>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</si>
  <si>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</si>
  <si>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</si>
  <si>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</si>
  <si>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</si>
  <si>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</si>
  <si>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</si>
  <si>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</si>
  <si>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</si>
  <si>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</si>
  <si>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</si>
  <si>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</si>
  <si>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</si>
  <si>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</si>
  <si>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</si>
  <si>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</si>
  <si>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</si>
  <si>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</si>
  <si>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</si>
  <si>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</si>
  <si>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</si>
  <si>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</si>
  <si>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</si>
  <si>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</si>
  <si>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</si>
  <si>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</si>
  <si>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</si>
  <si>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</si>
  <si>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</si>
  <si>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</si>
  <si>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</si>
  <si>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</si>
  <si>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</si>
  <si>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</si>
  <si>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</si>
  <si>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</si>
  <si>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</si>
  <si>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</si>
  <si>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</si>
  <si>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MADRID</t>
  </si>
  <si>
    <t>Provincias</t>
  </si>
  <si>
    <t>Resumenes por Partidos Judiciales</t>
  </si>
  <si>
    <t>ARGANDA DEL REY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</si>
</sst>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gZFA6QHpCkTfcUx4wkZMAAStBktib0AEpa/pHb/8iKLW0rs3xkwi5FZXk90mpwNVI8GR30UwQb+ataU+X18Qkg==" saltValue="3aGjS92sKLTawd6AnBOqX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MADRID</v>
      </c>
      <c r="C2" s="374"/>
      <c r="D2" s="374"/>
      <c r="E2" s="374"/>
      <c r="F2" s="374"/>
    </row>
    <row r="3" spans="1:69" ht="19.5">
      <c r="A3" s="389" t="s">
        <v>115</v>
      </c>
      <c r="B3" s="390" t="str">
        <f>Criterios!A10 &amp;"  "&amp;Criterios!B10</f>
        <v>Provincias  MADRID</v>
      </c>
      <c r="D3" s="374"/>
      <c r="E3" s="374"/>
      <c r="F3" s="374"/>
      <c r="BQ3" s="470"/>
    </row>
    <row r="4" spans="1:69" ht="13.5" thickBot="1">
      <c r="A4" s="374"/>
      <c r="B4" s="390" t="str">
        <f>Criterios!A11 &amp;"  "&amp;Criterios!B11</f>
        <v>Resumenes por Partidos Judiciales  ARGANDA DEL REY</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10999</v>
      </c>
      <c r="D9" s="403" t="str">
        <f>IF(ISNUMBER(C9/Datos!BH9),C9/Datos!BH9," - ")</f>
        <v xml:space="preserve"> - </v>
      </c>
      <c r="E9" s="402">
        <f>IF(ISNUMBER(IF(J_V="SI",Datos!J9,Datos!J9+Datos!Z9)),IF(J_V="SI",Datos!J9,Datos!J9+Datos!Z9)," - ")</f>
        <v>3143</v>
      </c>
      <c r="F9" s="403">
        <f>IF(ISNUMBER(E9/B9),E9/B9," - ")</f>
        <v>523.83333333333337</v>
      </c>
      <c r="G9" s="402">
        <f>IF(ISNUMBER(IF(J_V="SI",Datos!K9,Datos!K9+Datos!AA9)),IF(J_V="SI",Datos!K9,Datos!K9+Datos!AA9)," - ")</f>
        <v>2176</v>
      </c>
      <c r="H9" s="403">
        <f>IF(ISNUMBER(G9/B9),G9/B9," - ")</f>
        <v>362.66666666666669</v>
      </c>
      <c r="I9" s="402">
        <f>IF(ISNUMBER(IF(J_V="SI",Datos!L9,Datos!L9+Datos!AB9)),IF(J_V="SI",Datos!L9,Datos!L9+Datos!AB9)," - ")</f>
        <v>11966</v>
      </c>
      <c r="J9" s="403">
        <f>IF(ISNUMBER(I9/B9),I9/B9," - ")</f>
        <v>1994.3333333333333</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149</v>
      </c>
      <c r="D10" s="403">
        <f>IF(ISNUMBER(C10/Datos!BH10),C10/Datos!BH10," - ")</f>
        <v>149</v>
      </c>
      <c r="E10" s="402">
        <f>IF(ISNUMBER(Datos!J10),Datos!J10," - ")</f>
        <v>65</v>
      </c>
      <c r="F10" s="403">
        <f>IF(ISNUMBER(E10/B10),E10/B10," - ")</f>
        <v>32.5</v>
      </c>
      <c r="G10" s="402">
        <f>IF(ISNUMBER(Datos!K10),Datos!K10," - ")</f>
        <v>65</v>
      </c>
      <c r="H10" s="403">
        <f>IF(ISNUMBER(G10/B10),G10/B10," - ")</f>
        <v>32.5</v>
      </c>
      <c r="I10" s="402">
        <f>IF(ISNUMBER(Datos!L10),Datos!L10," - ")</f>
        <v>149</v>
      </c>
      <c r="J10" s="403">
        <f>IF(ISNUMBER(I10/B10),I10/B10," - ")</f>
        <v>74.5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f>IF(ISNUMBER(IF(J_V="SI",Datos!I12,Datos!I12+Datos!Y12)),IF(J_V="SI",Datos!I12,Datos!I12+Datos!Y12)," - ")</f>
        <v>5273</v>
      </c>
      <c r="D12" s="403">
        <f>IF(ISNUMBER(C12/Datos!BH12),C12/Datos!BH12," - ")</f>
        <v>527.29999999999995</v>
      </c>
      <c r="E12" s="402">
        <f>IF(ISNUMBER(IF(J_V="SI",Datos!J12,Datos!J12+Datos!Z12)),IF(J_V="SI",Datos!J12,Datos!J12+Datos!Z12)," - ")</f>
        <v>419</v>
      </c>
      <c r="F12" s="403" t="str">
        <f>IF(ISNUMBER(E12/B12),E12/B12," - ")</f>
        <v xml:space="preserve"> - </v>
      </c>
      <c r="G12" s="402">
        <f>IF(ISNUMBER(IF(J_V="SI",Datos!K12,Datos!K12+Datos!AA12)),IF(J_V="SI",Datos!K12,Datos!K12+Datos!AA12)," - ")</f>
        <v>738</v>
      </c>
      <c r="H12" s="403" t="str">
        <f>IF(ISNUMBER(G12/B12),G12/B12," - ")</f>
        <v xml:space="preserve"> - </v>
      </c>
      <c r="I12" s="402">
        <f>IF(ISNUMBER(IF(J_V="SI",Datos!L12,Datos!L12+Datos!AB12)),IF(J_V="SI",Datos!L12,Datos!L12+Datos!AB12)," - ")</f>
        <v>5153</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16421</v>
      </c>
      <c r="D13" s="847" t="str">
        <f>IF(ISNUMBER(C13/Datos!BI13),C13/Datos!BI13," - ")</f>
        <v xml:space="preserve"> - </v>
      </c>
      <c r="E13" s="846">
        <f>SUBTOTAL(9,E8:E12)</f>
        <v>3627</v>
      </c>
      <c r="F13" s="847">
        <f>IF(ISNUMBER(E13/B13),E13/B13," - ")</f>
        <v>453.375</v>
      </c>
      <c r="G13" s="846">
        <f>SUBTOTAL(9,G8:G12)</f>
        <v>2979</v>
      </c>
      <c r="H13" s="847">
        <f>IF(ISNUMBER(G13/B13),G13/B13," - ")</f>
        <v>372.375</v>
      </c>
      <c r="I13" s="846">
        <f>SUBTOTAL(9,I8:I12)</f>
        <v>17268</v>
      </c>
      <c r="J13" s="847">
        <f>IF(ISNUMBER(I13/B13),I13/B13," - ")</f>
        <v>2158.5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4</v>
      </c>
      <c r="C15" s="402">
        <f>IF(ISNUMBER(IF(D_I="SI",Datos!I15,Datos!I15+Datos!AC15)),IF(D_I="SI",Datos!I15,Datos!I15+Datos!AC15)," - ")</f>
        <v>2437</v>
      </c>
      <c r="D15" s="403" t="str">
        <f>IF(ISNUMBER(C15/Datos!BH15),C15/Datos!BH15," - ")</f>
        <v xml:space="preserve"> - </v>
      </c>
      <c r="E15" s="402">
        <f>IF(ISNUMBER(IF(D_I="SI",Datos!J15,Datos!J15+Datos!AD15)),IF(D_I="SI",Datos!J15,Datos!J15+Datos!AD15)," - ")</f>
        <v>2730</v>
      </c>
      <c r="F15" s="403">
        <f>IF(ISNUMBER(E15/B15),E15/B15," - ")</f>
        <v>682.5</v>
      </c>
      <c r="G15" s="402">
        <f>IF(ISNUMBER(IF(D_I="SI",Datos!K15,Datos!K15+Datos!AE15)),IF(D_I="SI",Datos!K15,Datos!K15+Datos!AE15)," - ")</f>
        <v>2661</v>
      </c>
      <c r="H15" s="403">
        <f>IF(ISNUMBER(G15/B15),G15/B15," - ")</f>
        <v>665.25</v>
      </c>
      <c r="I15" s="402">
        <f>IF(ISNUMBER(IF(D_I="SI",Datos!L15,Datos!L15+Datos!AF15)),IF(D_I="SI",Datos!L15,Datos!L15+Datos!AF15)," - ")</f>
        <v>2522</v>
      </c>
      <c r="J15" s="403">
        <f>IF(ISNUMBER(I15/B15),I15/B15," - ")</f>
        <v>630.5</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f>IF(ISNUMBER(IF(D_I="SI",Datos!I17,Datos!I17+Datos!AC17)),IF(D_I="SI",Datos!I17,Datos!I17+Datos!AC17)," - ")</f>
        <v>2496</v>
      </c>
      <c r="D17" s="403">
        <f>IF(ISNUMBER(C17/Datos!BH17),C17/Datos!BH17," - ")</f>
        <v>249.6</v>
      </c>
      <c r="E17" s="402">
        <f>IF(ISNUMBER(IF(D_I="SI",Datos!J17,Datos!J17+Datos!AD17)),IF(D_I="SI",Datos!J17,Datos!J17+Datos!AD17)," - ")</f>
        <v>205</v>
      </c>
      <c r="F17" s="403" t="str">
        <f>IF(ISNUMBER(E17/B17),E17/B17," - ")</f>
        <v xml:space="preserve"> - </v>
      </c>
      <c r="G17" s="402">
        <f>IF(ISNUMBER(IF(D_I="SI",Datos!K17,Datos!K17+Datos!AE17)),IF(D_I="SI",Datos!K17,Datos!K17+Datos!AE17)," - ")</f>
        <v>553</v>
      </c>
      <c r="H17" s="403" t="str">
        <f>IF(ISNUMBER(G17/B17),G17/B17," - ")</f>
        <v xml:space="preserve"> - </v>
      </c>
      <c r="I17" s="402">
        <f>IF(ISNUMBER(IF(D_I="SI",Datos!L17,Datos!L17+Datos!AF17)),IF(D_I="SI",Datos!L17,Datos!L17+Datos!AF17)," - ")</f>
        <v>2168</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331</v>
      </c>
      <c r="D18" s="403">
        <f>IF(ISNUMBER(C18/Datos!BH18),C18/Datos!BH18," - ")</f>
        <v>331</v>
      </c>
      <c r="E18" s="402">
        <f>IF(ISNUMBER(IF(D_I="SI",Datos!J18,Datos!J18+Datos!AD18)),IF(D_I="SI",Datos!J18,Datos!J18+Datos!AD18)," - ")</f>
        <v>381</v>
      </c>
      <c r="F18" s="403">
        <f>IF(ISNUMBER(E18/B18),E18/B18," - ")</f>
        <v>190.5</v>
      </c>
      <c r="G18" s="402">
        <f>IF(ISNUMBER(IF(D_I="SI",Datos!K18,Datos!K18+Datos!AE18)),IF(D_I="SI",Datos!K18,Datos!K18+Datos!AE18)," - ")</f>
        <v>403</v>
      </c>
      <c r="H18" s="403">
        <f>IF(ISNUMBER(G18/B18),G18/B18," - ")</f>
        <v>201.5</v>
      </c>
      <c r="I18" s="402">
        <f>IF(ISNUMBER(IF(D_I="SI",Datos!L18,Datos!L18+Datos!AF18)),IF(D_I="SI",Datos!L18,Datos!L18+Datos!AF18)," - ")</f>
        <v>315</v>
      </c>
      <c r="J18" s="403">
        <f>IF(ISNUMBER(I18/B18),I18/B18," - ")</f>
        <v>157.5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6</v>
      </c>
      <c r="C19" s="846">
        <f>SUBTOTAL(9,C14:C18)</f>
        <v>5264</v>
      </c>
      <c r="D19" s="847" t="str">
        <f>IF(ISNUMBER(C19/Datos!BI19),C19/Datos!BI19," - ")</f>
        <v xml:space="preserve"> - </v>
      </c>
      <c r="E19" s="846">
        <f>SUBTOTAL(9,E14:E18)</f>
        <v>3316</v>
      </c>
      <c r="F19" s="847">
        <f>IF(ISNUMBER(E19/B19),E19/B19," - ")</f>
        <v>552.66666666666663</v>
      </c>
      <c r="G19" s="846">
        <f>SUBTOTAL(9,G14:G18)</f>
        <v>3617</v>
      </c>
      <c r="H19" s="847">
        <f>IF(ISNUMBER(G19/B19),G19/B19," - ")</f>
        <v>602.83333333333337</v>
      </c>
      <c r="I19" s="846">
        <f>SUBTOTAL(9,I14:I18)</f>
        <v>5005</v>
      </c>
      <c r="J19" s="847">
        <f>IF(ISNUMBER(I19/B19),I19/B19," - ")</f>
        <v>834.16666666666663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12</v>
      </c>
      <c r="C20" s="791">
        <f>SUBTOTAL(9,C9:C19)</f>
        <v>21685</v>
      </c>
      <c r="D20" s="792" t="str">
        <f>IF(ISNUMBER(C20/Datos!BI20),C20/Datos!BI20," - ")</f>
        <v xml:space="preserve"> - </v>
      </c>
      <c r="E20" s="791">
        <f>SUBTOTAL(9,E9:E19)</f>
        <v>6943</v>
      </c>
      <c r="F20" s="792">
        <f>IF(ISNUMBER(E20/B20),E20/B20," - ")</f>
        <v>578.58333333333337</v>
      </c>
      <c r="G20" s="791">
        <f>SUBTOTAL(9,G9:G19)</f>
        <v>6596</v>
      </c>
      <c r="H20" s="792">
        <f>IF(ISNUMBER(G20/B20),G20/B20," - ")</f>
        <v>549.66666666666663</v>
      </c>
      <c r="I20" s="791">
        <f>SUBTOTAL(9,I9:I19)</f>
        <v>22273</v>
      </c>
      <c r="J20" s="792">
        <f>IF(ISNUMBER(I20/B20),I20/B20," - ")</f>
        <v>1856.0833333333333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QhBGbwFbLKF72FztHGHviPB9PWlLMKAuRt8SZyRZSOO7REZHcIfINYFTvnTudpFKTW8UlTeTCK5LVo7MJ2OiQ==" saltValue="lTwxA6uD8EzKEIBvJRy6m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MADRID</v>
      </c>
      <c r="C2" s="374"/>
      <c r="E2" s="374"/>
      <c r="F2" s="374"/>
      <c r="G2" s="374"/>
      <c r="H2" s="374"/>
    </row>
    <row r="3" spans="1:15" ht="39">
      <c r="A3" s="414" t="s">
        <v>219</v>
      </c>
      <c r="B3" s="390" t="str">
        <f>Criterios!A10 &amp;"  "&amp;Criterios!B10</f>
        <v>Provincias  MADRID</v>
      </c>
      <c r="C3" s="414"/>
      <c r="F3" s="374"/>
      <c r="G3" s="374"/>
      <c r="H3" s="374"/>
    </row>
    <row r="4" spans="1:15" ht="13.5" thickBot="1">
      <c r="A4" s="374"/>
      <c r="B4" s="390" t="str">
        <f>Criterios!A11 &amp;"  "&amp;Criterios!B11</f>
        <v>Resumenes por Partidos Judiciales  ARGANDA DEL REY</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2</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f>IF(ISNUMBER(E12/Datos!BH12),E12/Datos!BH12," - ")</f>
        <v>0</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4</v>
      </c>
      <c r="D15" s="402">
        <f>Datos!BK15</f>
        <v>0</v>
      </c>
      <c r="E15" s="402">
        <f>Datos!AQ15</f>
        <v>4</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f>IF(ISNUMBER(E17/Datos!BH17),E17/Datos!BH17," - ")</f>
        <v>0</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2</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3HhmOME+Z+xgv1DBgjZlm9kfTDtSAhZzVwvK2nJ088xmAkYnvlB2ki+z+4cfl2Z2X+OhlIBt+LuxfFqzwbIMGg==" saltValue="QtDkcu29pqKhUEe5eGNT9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MADRID</v>
      </c>
      <c r="C2" s="390"/>
    </row>
    <row r="3" spans="1:78" ht="19.5">
      <c r="A3" s="424" t="s">
        <v>11</v>
      </c>
      <c r="B3" s="390" t="str">
        <f>Criterios!A10 &amp;"  "&amp;Criterios!B10</f>
        <v>Provincias  MADRID</v>
      </c>
      <c r="C3" s="390"/>
      <c r="D3" s="424"/>
      <c r="BZ3" s="470"/>
    </row>
    <row r="4" spans="1:78" ht="13.5" thickBot="1">
      <c r="B4" s="390" t="str">
        <f>Criterios!A11 &amp;"  "&amp;Criterios!B11</f>
        <v>Resumenes por Partidos Judiciales  ARGANDA DEL REY</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292</v>
      </c>
      <c r="E9" s="403">
        <f t="shared" ref="E9:E13" si="0">IF(ISNUMBER(D9/B9),D9/B9," - ")</f>
        <v>48.666666666666664</v>
      </c>
      <c r="F9" s="402">
        <f>IF(ISNUMBER(Datos!N9),Datos!N9," - ")</f>
        <v>961</v>
      </c>
      <c r="G9" s="403">
        <f t="shared" ref="G9:G13" si="1">IF(ISNUMBER(F9/B9),F9/B9," - ")</f>
        <v>160.16666666666666</v>
      </c>
      <c r="H9" s="402">
        <f>IF(ISNUMBER(Datos!O9),Datos!O9," - ")</f>
        <v>427</v>
      </c>
      <c r="I9" s="403">
        <f>IF(ISNUMBER(H9/B9),H9/B9," - ")</f>
        <v>71.166666666666671</v>
      </c>
      <c r="BZ9" s="1181">
        <f>Datos!EZ9</f>
        <v>0</v>
      </c>
    </row>
    <row r="10" spans="1:78">
      <c r="A10" s="401" t="str">
        <f>Datos!A10</f>
        <v>Sección De Violencia sobre la Mujer del TI</v>
      </c>
      <c r="B10" s="426">
        <f>Datos!AO10</f>
        <v>2</v>
      </c>
      <c r="C10" s="409">
        <f>Datos!AQ10</f>
        <v>2</v>
      </c>
      <c r="D10" s="402">
        <f>IF(ISNUMBER(Datos!M10),Datos!M10," - ")</f>
        <v>21</v>
      </c>
      <c r="E10" s="403">
        <f>IF(ISNUMBER(D10/B10),D10/B10," - ")</f>
        <v>10.5</v>
      </c>
      <c r="F10" s="402">
        <f>IF(ISNUMBER(Datos!N10),Datos!N10," - ")</f>
        <v>26</v>
      </c>
      <c r="G10" s="403">
        <f>IF(ISNUMBER(F10/B10),F10/B10," - ")</f>
        <v>13</v>
      </c>
      <c r="H10" s="402">
        <f>IF(ISNUMBER(Datos!O10),Datos!O10," - ")</f>
        <v>14</v>
      </c>
      <c r="I10" s="403">
        <f t="shared" ref="I10:I12" si="2">IF(ISNUMBER(H10/B10),H10/B10," - ")</f>
        <v>7</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f>IF(ISNUMBER(Datos!M12),Datos!M12," - ")</f>
        <v>115</v>
      </c>
      <c r="E12" s="403" t="str">
        <f t="shared" si="0"/>
        <v xml:space="preserve"> - </v>
      </c>
      <c r="F12" s="402">
        <f>IF(ISNUMBER(Datos!N12),Datos!N12," - ")</f>
        <v>259</v>
      </c>
      <c r="G12" s="403" t="str">
        <f t="shared" si="1"/>
        <v xml:space="preserve"> - </v>
      </c>
      <c r="H12" s="402">
        <f>IF(ISNUMBER(Datos!O12),Datos!O12," - ")</f>
        <v>274</v>
      </c>
      <c r="I12" s="403" t="str">
        <f t="shared" si="2"/>
        <v xml:space="preserve"> - </v>
      </c>
      <c r="BZ12" s="1181">
        <f>Datos!EZ12</f>
        <v>0</v>
      </c>
    </row>
    <row r="13" spans="1:78" ht="14.25" thickTop="1" thickBot="1">
      <c r="A13" s="845" t="str">
        <f>Datos!A13</f>
        <v>TOTAL</v>
      </c>
      <c r="B13" s="846">
        <f>Datos!AP13</f>
        <v>8</v>
      </c>
      <c r="C13" s="848">
        <f>Datos!AR13</f>
        <v>8</v>
      </c>
      <c r="D13" s="846">
        <f>SUBTOTAL(9,D9:D12)</f>
        <v>428</v>
      </c>
      <c r="E13" s="847">
        <f t="shared" si="0"/>
        <v>53.5</v>
      </c>
      <c r="F13" s="846">
        <f>SUBTOTAL(9,F9:F12)</f>
        <v>1246</v>
      </c>
      <c r="G13" s="847">
        <f t="shared" si="1"/>
        <v>155.75</v>
      </c>
      <c r="H13" s="846">
        <f>SUBTOTAL(9,H9:H12)</f>
        <v>715</v>
      </c>
      <c r="I13" s="847">
        <f>IF(ISNUMBER(H13/B13),H13/B13," - ")</f>
        <v>89.375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4</v>
      </c>
      <c r="C15" s="427">
        <f>Datos!AQ15</f>
        <v>4</v>
      </c>
      <c r="D15" s="402">
        <f>IF(ISNUMBER(Datos!M15),Datos!M15," - ")</f>
        <v>298</v>
      </c>
      <c r="E15" s="403">
        <f t="shared" ref="E15:E19" si="3">IF(ISNUMBER(D15/B15),D15/B15," - ")</f>
        <v>74.5</v>
      </c>
      <c r="F15" s="402">
        <f>IF(ISNUMBER(Datos!N15),Datos!N15," - ")</f>
        <v>1858</v>
      </c>
      <c r="G15" s="403">
        <f t="shared" ref="G15:G19" si="4">IF(ISNUMBER(F15/B15),F15/B15," - ")</f>
        <v>464.5</v>
      </c>
      <c r="H15" s="402">
        <f>IF(ISNUMBER(Datos!O15),Datos!O15," - ")</f>
        <v>40</v>
      </c>
      <c r="I15" s="403">
        <f t="shared" ref="I15:I18" si="5">IF(ISNUMBER(H15/B15),H15/B15," - ")</f>
        <v>10</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f>IF(ISNUMBER(Datos!M17),Datos!M17," - ")</f>
        <v>84</v>
      </c>
      <c r="E17" s="403" t="str">
        <f t="shared" si="3"/>
        <v xml:space="preserve"> - </v>
      </c>
      <c r="F17" s="402">
        <f>IF(ISNUMBER(Datos!N17),Datos!N17," - ")</f>
        <v>280</v>
      </c>
      <c r="G17" s="403" t="str">
        <f t="shared" si="4"/>
        <v xml:space="preserve"> - </v>
      </c>
      <c r="H17" s="402">
        <f>IF(ISNUMBER(Datos!O17),Datos!O17," - ")</f>
        <v>23</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20</v>
      </c>
      <c r="E18" s="403">
        <f>IF(ISNUMBER(D18/B18),D18/B18," - ")</f>
        <v>10</v>
      </c>
      <c r="F18" s="402">
        <f>IF(ISNUMBER(Datos!N18),Datos!N18," - ")</f>
        <v>265</v>
      </c>
      <c r="G18" s="403">
        <f>IF(ISNUMBER(F18/B18),F18/B18," - ")</f>
        <v>132.5</v>
      </c>
      <c r="H18" s="402">
        <f>IF(ISNUMBER(Datos!O18),Datos!O18," - ")</f>
        <v>2</v>
      </c>
      <c r="I18" s="403">
        <f t="shared" si="5"/>
        <v>1</v>
      </c>
      <c r="BZ18" s="1181">
        <f>Datos!EZ18</f>
        <v>0</v>
      </c>
    </row>
    <row r="19" spans="1:78" ht="14.25" thickTop="1" thickBot="1">
      <c r="A19" s="845" t="str">
        <f>Datos!A19</f>
        <v>TOTAL</v>
      </c>
      <c r="B19" s="846">
        <f>Datos!AP19</f>
        <v>6</v>
      </c>
      <c r="C19" s="848">
        <f>Datos!AR19</f>
        <v>6</v>
      </c>
      <c r="D19" s="846">
        <f>SUBTOTAL(9,D15:D18)</f>
        <v>402</v>
      </c>
      <c r="E19" s="847">
        <f t="shared" si="3"/>
        <v>67</v>
      </c>
      <c r="F19" s="846">
        <f>SUBTOTAL(9,F15:F18)</f>
        <v>2403</v>
      </c>
      <c r="G19" s="847">
        <f t="shared" si="4"/>
        <v>400.5</v>
      </c>
      <c r="H19" s="846">
        <f>SUBTOTAL(9,H15:H18)</f>
        <v>65</v>
      </c>
      <c r="I19" s="847">
        <f>IF(ISNUMBER(H19/B19),H19/B19," - ")</f>
        <v>10.833333333333334</v>
      </c>
      <c r="BZ19" s="1181"/>
    </row>
    <row r="20" spans="1:78" ht="14.25" thickTop="1" thickBot="1">
      <c r="A20" s="790" t="str">
        <f>Datos!A20</f>
        <v>TOTAL JURISDICCIONES</v>
      </c>
      <c r="B20" s="791">
        <f>Datos!AP20</f>
        <v>12</v>
      </c>
      <c r="C20" s="791">
        <f>Datos!AR20</f>
        <v>12</v>
      </c>
      <c r="D20" s="791">
        <f>SUBTOTAL(9,D8:D19)</f>
        <v>830</v>
      </c>
      <c r="E20" s="792">
        <f>IF(ISNUMBER(D20/B20),D20/B20," - ")</f>
        <v>69.166666666666671</v>
      </c>
      <c r="F20" s="791">
        <f>SUBTOTAL(9,F8:F19)</f>
        <v>3649</v>
      </c>
      <c r="G20" s="792">
        <f>IF(ISNUMBER(F20/B20),F20/B20," - ")</f>
        <v>304.08333333333331</v>
      </c>
      <c r="H20" s="791">
        <f>SUBTOTAL(9,H8:H19)</f>
        <v>780</v>
      </c>
      <c r="I20" s="792">
        <f>IF(ISNUMBER(H20/B20),H20/B20," - ")</f>
        <v>65</v>
      </c>
    </row>
    <row r="23" spans="1:78">
      <c r="A23" s="390" t="str">
        <f>Criterios!A4</f>
        <v>Fecha Informe: 06 oct. 2026</v>
      </c>
    </row>
    <row r="28" spans="1:78">
      <c r="A28" s="413"/>
    </row>
  </sheetData>
  <sheetProtection algorithmName="SHA-512" hashValue="C14c+FKXar1wkyT64xqHmGXEuC879Dek+QtBhmPvX6MckuJv/uMaSCvEJv1cxaHvFNiLGLiEbDwBL4hOgAvAQA==" saltValue="xuyjg1OkAQ9/xENp1a4J+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MADRID</v>
      </c>
    </row>
    <row r="3" spans="1:4" ht="19.5">
      <c r="A3" s="428" t="s">
        <v>32</v>
      </c>
      <c r="B3" s="390" t="str">
        <f>Criterios!A10 &amp;"  "&amp;Criterios!B10</f>
        <v>Provincias  MADRID</v>
      </c>
    </row>
    <row r="4" spans="1:4" ht="13.5" thickBot="1">
      <c r="B4" s="390" t="str">
        <f>Criterios!A11 &amp;"  "&amp;Criterios!B11</f>
        <v>Resumenes por Partidos Judiciales  ARGANDA DEL REY</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161</v>
      </c>
      <c r="C9" s="433">
        <f>IF(ISNUMBER(Datos!Q9),Datos!Q9," - ")</f>
        <v>172</v>
      </c>
      <c r="D9" s="407">
        <f>IF(ISNUMBER(Datos!R9),Datos!R9," - ")</f>
        <v>6605</v>
      </c>
    </row>
    <row r="10" spans="1:4">
      <c r="A10" s="401" t="str">
        <f>Datos!A10</f>
        <v>Sección De Violencia sobre la Mujer del TI</v>
      </c>
      <c r="B10" s="432">
        <f>IF(ISNUMBER(Datos!P10),Datos!P10," - ")</f>
        <v>19</v>
      </c>
      <c r="C10" s="433">
        <f>IF(ISNUMBER(Datos!Q10),Datos!Q10," - ")</f>
        <v>9</v>
      </c>
      <c r="D10" s="407">
        <f>IF(ISNUMBER(Datos!R10),Datos!R10," - ")</f>
        <v>78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133</v>
      </c>
      <c r="C12" s="433">
        <f>IF(ISNUMBER(Datos!Q12),Datos!Q12," - ")</f>
        <v>92</v>
      </c>
      <c r="D12" s="407">
        <f>IF(ISNUMBER(Datos!R12),Datos!R12," - ")</f>
        <v>4531</v>
      </c>
    </row>
    <row r="13" spans="1:4" ht="14.25" thickTop="1" thickBot="1">
      <c r="A13" s="845" t="str">
        <f>Datos!A13</f>
        <v>TOTAL</v>
      </c>
      <c r="B13" s="846">
        <f>SUBTOTAL(9,B9:B12)</f>
        <v>313</v>
      </c>
      <c r="C13" s="850">
        <f>SUBTOTAL(9,C9:C12)</f>
        <v>273</v>
      </c>
      <c r="D13" s="848">
        <f>SUBTOTAL(9,D9:D12)</f>
        <v>11214</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58</v>
      </c>
      <c r="C15" s="433">
        <f>IF(ISNUMBER(Datos!Q15),Datos!Q15," - ")</f>
        <v>85</v>
      </c>
      <c r="D15" s="407">
        <f>IF(ISNUMBER(Datos!R15),Datos!R15," - ")</f>
        <v>211</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79</v>
      </c>
      <c r="C17" s="433">
        <f>IF(ISNUMBER(Datos!Q17),Datos!Q17," - ")</f>
        <v>94</v>
      </c>
      <c r="D17" s="407">
        <f>IF(ISNUMBER(Datos!R17),Datos!R17," - ")</f>
        <v>300</v>
      </c>
    </row>
    <row r="18" spans="1:4" ht="13.5" thickBot="1">
      <c r="A18" s="401" t="str">
        <f>Datos!A18</f>
        <v>Sección De Violencia sobre la Mujer del TI</v>
      </c>
      <c r="B18" s="432">
        <f>IF(ISNUMBER(Datos!P18),Datos!P18," - ")</f>
        <v>4</v>
      </c>
      <c r="C18" s="433">
        <f>IF(ISNUMBER(Datos!Q18),Datos!Q18," - ")</f>
        <v>8</v>
      </c>
      <c r="D18" s="407">
        <f>IF(ISNUMBER(Datos!R18),Datos!R18," - ")</f>
        <v>6</v>
      </c>
    </row>
    <row r="19" spans="1:4" ht="14.25" thickTop="1" thickBot="1">
      <c r="A19" s="845" t="str">
        <f>Datos!A19</f>
        <v>TOTAL</v>
      </c>
      <c r="B19" s="846">
        <f>SUBTOTAL(9,B15:B18)</f>
        <v>141</v>
      </c>
      <c r="C19" s="850">
        <f>SUBTOTAL(9,C15:C18)</f>
        <v>187</v>
      </c>
      <c r="D19" s="848">
        <f>SUBTOTAL(9,D15:D18)</f>
        <v>517</v>
      </c>
    </row>
    <row r="20" spans="1:4" ht="16.5" customHeight="1" thickTop="1" thickBot="1">
      <c r="A20" s="790" t="str">
        <f>Datos!A20</f>
        <v>TOTAL JURISDICCIONES</v>
      </c>
      <c r="B20" s="795">
        <f>SUBTOTAL(9,B8:B19)</f>
        <v>454</v>
      </c>
      <c r="C20" s="796">
        <f>SUBTOTAL(9,C8:C19)</f>
        <v>460</v>
      </c>
      <c r="D20" s="797">
        <f>SUBTOTAL(9,D8:D19)</f>
        <v>11731</v>
      </c>
    </row>
    <row r="21" spans="1:4" ht="7.5" customHeight="1"/>
    <row r="22" spans="1:4" ht="6" customHeight="1"/>
    <row r="23" spans="1:4">
      <c r="A23" s="390" t="str">
        <f>Criterios!A4</f>
        <v>Fecha Informe: 06 oct. 2026</v>
      </c>
    </row>
    <row r="28" spans="1:4">
      <c r="A28" s="413"/>
    </row>
  </sheetData>
  <sheetProtection algorithmName="SHA-512" hashValue="uG77+80vLYejr5TJ3k+TyQW1Qe2NOk1lxXXYoQRnK1Fb1fMtgoZUszNcoew9L0/rXxqVmt6sA1zVKDL2Us5/cQ==" saltValue="9qnj+KxJTmIkUDhpURniQ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MADRID</v>
      </c>
    </row>
    <row r="3" spans="1:11" ht="18.75" customHeight="1">
      <c r="A3" s="428" t="s">
        <v>118</v>
      </c>
      <c r="B3" s="390" t="str">
        <f>Criterios!A10 &amp;"  "&amp;Criterios!B10</f>
        <v>Provincias  MADRID</v>
      </c>
    </row>
    <row r="4" spans="1:11" ht="10.5" customHeight="1" thickBot="1">
      <c r="B4" s="390" t="str">
        <f>Criterios!A11 &amp;"  "&amp;Criterios!B11</f>
        <v>Resumenes por Partidos Judiciales  ARGANDA DEL REY</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0.12878787878787878</v>
      </c>
      <c r="C10" s="455">
        <f>IF(ISNUMBER((Datos!J10-Datos!T10)/Datos!T10),(Datos!J10-Datos!T10)/Datos!T10," - ")</f>
        <v>0.20370370370370369</v>
      </c>
      <c r="D10" s="455">
        <f>IF(ISNUMBER((Datos!K10-Datos!U10)/Datos!U10),(Datos!K10-Datos!U10)/Datos!U10," - ")</f>
        <v>0.58536585365853655</v>
      </c>
      <c r="E10" s="455">
        <f>IF(ISNUMBER((Datos!L10-Datos!V10)/Datos!V10),(Datos!L10-Datos!V10)/Datos!V10," - ")</f>
        <v>0</v>
      </c>
      <c r="F10" s="455">
        <f>IF(ISNUMBER((Datos!M10-Datos!W10)/Datos!W10),(Datos!M10-Datos!W10)/Datos!W10," - ")</f>
        <v>0.5</v>
      </c>
      <c r="G10" s="456">
        <f>IF(ISNUMBER((Datos!N10-Datos!X10)/Datos!X10),(Datos!N10-Datos!X10)/Datos!X10," - ")</f>
        <v>4.2</v>
      </c>
      <c r="H10" s="454">
        <f>IF(ISNUMBER(((NºAsuntos!G10/NºAsuntos!E10)-Datos!BD10)/Datos!BD10),((NºAsuntos!G10/NºAsuntos!E10)-Datos!BD10)/Datos!BD10," - ")</f>
        <v>0.31707317073170727</v>
      </c>
      <c r="I10" s="455">
        <f>IF(ISNUMBER(((NºAsuntos!I10/NºAsuntos!G10)-Datos!BE10)/Datos!BE10),((NºAsuntos!I10/NºAsuntos!G10)-Datos!BE10)/Datos!BE10," - ")</f>
        <v>-0.36923076923076931</v>
      </c>
      <c r="J10" s="460">
        <f>IF(ISNUMBER((('Resol  Asuntos'!D10/NºAsuntos!G10)-Datos!BF10)/Datos!BF10),(('Resol  Asuntos'!D10/NºAsuntos!G10)-Datos!BF10)/Datos!BF10," - ")</f>
        <v>-5.3846153846153863E-2</v>
      </c>
      <c r="K10" s="461">
        <f>IF(ISNUMBER((((NºAsuntos!C10+NºAsuntos!E10)/NºAsuntos!G10)-Datos!BG10)/Datos!BG10),(((NºAsuntos!C10+NºAsuntos!E10)/NºAsuntos!G10)-Datos!BG10)/Datos!BG10," - ")</f>
        <v>-0.27427626137303551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-0.67951133531878682</v>
      </c>
      <c r="C12" s="455">
        <f>IF(ISNUMBER(
   IF(J_V="SI",(Datos!J12-Datos!T12)/Datos!T12,(Datos!J12+Datos!Z12-(Datos!T12+Datos!AH12))/(Datos!T12+Datos!AH12))
     ),IF(J_V="SI",(Datos!J12-Datos!T12)/Datos!T12,(Datos!J12+Datos!Z12-(Datos!T12+Datos!AH12))/(Datos!T12+Datos!AH12))," - ")</f>
        <v>-0.82446585672392125</v>
      </c>
      <c r="D12" s="455">
        <f>IF(ISNUMBER(
   IF(J_V="SI",(Datos!K12-Datos!U12)/Datos!U12,(Datos!K12+Datos!AA12-(Datos!U12+Datos!AI12))/(Datos!U12+Datos!AI12))
     ),IF(J_V="SI",(Datos!K12-Datos!U12)/Datos!U12,(Datos!K12+Datos!AA12-(Datos!U12+Datos!AI12))/(Datos!U12+Datos!AI12))," - ")</f>
        <v>-0.75691699604743079</v>
      </c>
      <c r="E12" s="455">
        <f>IF(ISNUMBER(
   IF(J_V="SI",(Datos!L12-Datos!V12)/Datos!V12,(Datos!L12+Datos!AB12-(Datos!V12+Datos!AJ12))/(Datos!V12+Datos!AJ12))
     ),IF(J_V="SI",(Datos!L12-Datos!V12)/Datos!V12,(Datos!L12+Datos!AB12-(Datos!V12+Datos!AJ12))/(Datos!V12+Datos!AJ12))," - ")</f>
        <v>-0.6739845628242439</v>
      </c>
      <c r="F12" s="455">
        <f>IF(ISNUMBER((Datos!M12-Datos!W12)/Datos!W12),(Datos!M12-Datos!W12)/Datos!W12," - ")</f>
        <v>-0.80508474576271183</v>
      </c>
      <c r="G12" s="456">
        <f>IF(ISNUMBER((Datos!N12-Datos!X12)/Datos!X12),(Datos!N12-Datos!X12)/Datos!X12," - ")</f>
        <v>-0.84915550378567273</v>
      </c>
      <c r="H12" s="454">
        <f>IF(ISNUMBER(((NºAsuntos!G12/NºAsuntos!E12)-Datos!BD12)/Datos!BD12),((NºAsuntos!G12/NºAsuntos!E12)-Datos!BD12)/Datos!BD12," - ")</f>
        <v>0.384818927051987</v>
      </c>
      <c r="I12" s="455">
        <f>IF(ISNUMBER(((NºAsuntos!I12/NºAsuntos!G12)-Datos!BE12)/Datos!BE12),((NºAsuntos!I12/NºAsuntos!G12)-Datos!BE12)/Datos!BE12," - ")</f>
        <v>0.34116919683684999</v>
      </c>
      <c r="J12" s="460">
        <f>IF(ISNUMBER((('Resol  Asuntos'!D12/NºAsuntos!G12)-Datos!BF12)/Datos!BF12),(('Resol  Asuntos'!D12/NºAsuntos!G12)-Datos!BF12)/Datos!BF12," - ")</f>
        <v>-0.7244674252217187</v>
      </c>
      <c r="K12" s="461">
        <f>IF(ISNUMBER((((NºAsuntos!C12+NºAsuntos!E12)/NºAsuntos!G12)-Datos!BG12)/Datos!BG12),(((NºAsuntos!C12+NºAsuntos!E12)/NºAsuntos!G12)-Datos!BG12)/Datos!BG12," - ")</f>
        <v>0.24288056893307799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-9.8884534217666565E-3</v>
      </c>
      <c r="C13" s="852">
        <f>IF(ISNUMBER(
   IF(J_V="SI",(Datos!J13-Datos!T13)/Datos!T13,(Datos!J13+Datos!Z13-(Datos!T13+Datos!AH13))/(Datos!T13+Datos!AH13))
     ),IF(J_V="SI",(Datos!J13-Datos!T13)/Datos!T13,(Datos!J13+Datos!Z13-(Datos!T13+Datos!AH13))/(Datos!T13+Datos!AH13))," - ")</f>
        <v>0.48586644817697666</v>
      </c>
      <c r="D13" s="852">
        <f>IF(ISNUMBER(
   IF(J_V="SI",(Datos!K13-Datos!U13)/Datos!U13,(Datos!K13+Datos!AA13-(Datos!U13+Datos!AI13))/(Datos!U13+Datos!AI13))
     ),IF(J_V="SI",(Datos!K13-Datos!U13)/Datos!U13,(Datos!K13+Datos!AA13-(Datos!U13+Datos!AI13))/(Datos!U13+Datos!AI13))," - ")</f>
        <v>-3.184920376990575E-2</v>
      </c>
      <c r="E13" s="852">
        <f>IF(ISNUMBER(
   IF(J_V="SI",(Datos!L13-Datos!V13)/Datos!V13,(Datos!L13+Datos!AB13-(Datos!V13+Datos!AJ13))/(Datos!V13+Datos!AJ13))
     ),IF(J_V="SI",(Datos!L13-Datos!V13)/Datos!V13,(Datos!L13+Datos!AB13-(Datos!V13+Datos!AJ13))/(Datos!V13+Datos!AJ13))," - ")</f>
        <v>8.2293951739266694E-2</v>
      </c>
      <c r="F13" s="853">
        <f>IF(ISNUMBER((Datos!M13-Datos!W13)/Datos!W13),(Datos!M13-Datos!W13)/Datos!W13," - ")</f>
        <v>-0.29139072847682118</v>
      </c>
      <c r="G13" s="854">
        <f>IF(ISNUMBER((Datos!N13-Datos!X13)/Datos!X13),(Datos!N13-Datos!X13)/Datos!X13," - ")</f>
        <v>-0.27642276422764228</v>
      </c>
      <c r="H13" s="854">
        <f>IF(ISNUMBER(((NºAsuntos!G13/NºAsuntos!E13)-Datos!BD13)/Datos!BD13),((NºAsuntos!G13/NºAsuntos!E13)-Datos!BD13)/Datos!BD13," - ")</f>
        <v>-0.34842677320163767</v>
      </c>
      <c r="I13" s="854">
        <f>IF(ISNUMBER(((NºAsuntos!I13/NºAsuntos!G13)-Datos!BE13)/Datos!BE13),((NºAsuntos!I13/NºAsuntos!G13)-Datos!BE13)/Datos!BE13," - ")</f>
        <v>0.11789811665046125</v>
      </c>
      <c r="J13" s="854">
        <f>IF(ISNUMBER((('Resol  Asuntos'!D13/NºAsuntos!G13)-Datos!BF13)/Datos!BF13),(('Resol  Asuntos'!D13/NºAsuntos!G13)-Datos!BF13)/Datos!BF13," - ")</f>
        <v>-0.74461011404887167</v>
      </c>
      <c r="K13" s="854">
        <f>IF(ISNUMBER((((NºAsuntos!C13+NºAsuntos!E13)/NºAsuntos!G13)-Datos!BG13)/Datos!BG13),(((NºAsuntos!C13+NºAsuntos!E13)/NºAsuntos!G13)-Datos!BG13)/Datos!BG13," - ")</f>
        <v>8.8380004154665168E-2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-0.40964995269631033</v>
      </c>
      <c r="C17" s="455">
        <f>IF(ISNUMBER(
   IF(D_I="SI",(Datos!J17-Datos!T17)/Datos!T17,(Datos!J17+Datos!AD17-(Datos!T17+Datos!AL17))/(Datos!T17+Datos!AL17))
     ),IF(D_I="SI",(Datos!J17-Datos!T17)/Datos!T17,(Datos!J17+Datos!AD17-(Datos!T17+Datos!AL17))/(Datos!T17+Datos!AL17))," - ")</f>
        <v>-0.92921270718232041</v>
      </c>
      <c r="D17" s="455">
        <f>IF(ISNUMBER(
   IF(D_I="SI",(Datos!K17-Datos!U17)/Datos!U17,(Datos!K17+Datos!AE17-(Datos!U17+Datos!AM17))/(Datos!U17+Datos!AM17))
     ),IF(D_I="SI",(Datos!K17-Datos!U17)/Datos!U17,(Datos!K17+Datos!AE17-(Datos!U17+Datos!AM17))/(Datos!U17+Datos!AM17))," - ")</f>
        <v>-0.8058968058968059</v>
      </c>
      <c r="E17" s="455">
        <f>IF(ISNUMBER(
   IF(D_I="SI",(Datos!L17-Datos!V17)/Datos!V17,(Datos!L17+Datos!AF17-(Datos!V17+Datos!AN17))/(Datos!V17+Datos!AN17))
     ),IF(D_I="SI",(Datos!L17-Datos!V17)/Datos!V17,(Datos!L17+Datos!AF17-(Datos!V17+Datos!AN17))/(Datos!V17+Datos!AN17))," - ")</f>
        <v>-0.50126524039567522</v>
      </c>
      <c r="F17" s="455">
        <f>IF(ISNUMBER((Datos!M17-Datos!W17)/Datos!W17),(Datos!M17-Datos!W17)/Datos!W17," - ")</f>
        <v>-0.7640449438202247</v>
      </c>
      <c r="G17" s="456">
        <f>IF(ISNUMBER((Datos!N17-Datos!X17)/Datos!X17),(Datos!N17-Datos!X17)/Datos!X17," - ")</f>
        <v>-0.85130111524163565</v>
      </c>
      <c r="H17" s="454">
        <f>IF(ISNUMBER(((NºAsuntos!G17/NºAsuntos!E17)-Datos!BD17)/Datos!BD17),((NºAsuntos!G17/NºAsuntos!E17)-Datos!BD17)/Datos!BD17," - ")</f>
        <v>1.7420626835260982</v>
      </c>
      <c r="I17" s="455">
        <f>IF(ISNUMBER(((NºAsuntos!I17/NºAsuntos!G17)-Datos!BE17)/Datos!BE17),((NºAsuntos!I17/NºAsuntos!G17)-Datos!BE17)/Datos!BE17," - ")</f>
        <v>1.5694309766956989</v>
      </c>
      <c r="J17" s="460">
        <f>IF(ISNUMBER((('Resol  Asuntos'!D17/NºAsuntos!G17)-Datos!BF17)/Datos!BF17),(('Resol  Asuntos'!D17/NºAsuntos!G17)-Datos!BF17)/Datos!BF17," - ")</f>
        <v>0.21561655525529796</v>
      </c>
      <c r="K17" s="461">
        <f>IF(ISNUMBER((((NºAsuntos!C17+NºAsuntos!E17)/NºAsuntos!G17)-Datos!BG17)/Datos!BG17),(((NºAsuntos!C17+NºAsuntos!E17)/NºAsuntos!G17)-Datos!BG17)/Datos!BG17," - ")</f>
        <v>0.95329568795798125</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0.15331010452961671</v>
      </c>
      <c r="C18" s="455">
        <f>IF(ISNUMBER(
   IF(D_I="SI",(Datos!J18-Datos!T18)/Datos!T18,(Datos!J18+Datos!AD18-(Datos!T18+Datos!AL18))/(Datos!T18+Datos!AL18))
     ),IF(D_I="SI",(Datos!J18-Datos!T18)/Datos!T18,(Datos!J18+Datos!AD18-(Datos!T18+Datos!AL18))/(Datos!T18+Datos!AL18))," - ")</f>
        <v>1.6E-2</v>
      </c>
      <c r="D18" s="455">
        <f>IF(ISNUMBER(
   IF(D_I="SI",(Datos!K18-Datos!U18)/Datos!U18,(Datos!K18+Datos!AE18-(Datos!U18+Datos!AM18))/(Datos!U18+Datos!AM18))
     ),IF(D_I="SI",(Datos!K18-Datos!U18)/Datos!U18,(Datos!K18+Datos!AE18-(Datos!U18+Datos!AM18))/(Datos!U18+Datos!AM18))," - ")</f>
        <v>-1.9464720194647202E-2</v>
      </c>
      <c r="E18" s="455">
        <f>IF(ISNUMBER(
   IF(D_I="SI",(Datos!L18-Datos!V18)/Datos!V18,(Datos!L18+Datos!AF18-(Datos!V18+Datos!AN18))/(Datos!V18+Datos!AN18))
     ),IF(D_I="SI",(Datos!L18-Datos!V18)/Datos!V18,(Datos!L18+Datos!AF18-(Datos!V18+Datos!AN18))/(Datos!V18+Datos!AN18))," - ")</f>
        <v>-0.12011173184357542</v>
      </c>
      <c r="F18" s="455">
        <f>IF(ISNUMBER((Datos!M18-Datos!W18)/Datos!W18),(Datos!M18-Datos!W18)/Datos!W18," - ")</f>
        <v>0.66666666666666663</v>
      </c>
      <c r="G18" s="456">
        <f>IF(ISNUMBER((Datos!N18-Datos!X18)/Datos!X18),(Datos!N18-Datos!X18)/Datos!X18," - ")</f>
        <v>0.18303571428571427</v>
      </c>
      <c r="H18" s="454">
        <f>IF(ISNUMBER(((NºAsuntos!G18/NºAsuntos!E18)-Datos!BD18)/Datos!BD18),((NºAsuntos!G18/NºAsuntos!E18)-Datos!BD18)/Datos!BD18," - ")</f>
        <v>-3.4906220664022936E-2</v>
      </c>
      <c r="I18" s="455">
        <f>IF(ISNUMBER(((NºAsuntos!I18/NºAsuntos!G18)-Datos!BE18)/Datos!BE18),((NºAsuntos!I18/NºAsuntos!G18)-Datos!BE18)/Datos!BE18," - ")</f>
        <v>-0.10264496721516003</v>
      </c>
      <c r="J18" s="460">
        <f>IF(ISNUMBER((('Resol  Asuntos'!D18/NºAsuntos!G18)-Datos!BF18)/Datos!BF18),(('Resol  Asuntos'!D18/NºAsuntos!G18)-Datos!BF18)/Datos!BF18," - ")</f>
        <v>0.69975186104218379</v>
      </c>
      <c r="K18" s="461">
        <f>IF(ISNUMBER((((NºAsuntos!C18+NºAsuntos!E18)/NºAsuntos!G18)-Datos!BG18)/Datos!BG18),(((NºAsuntos!C18+NºAsuntos!E18)/NºAsuntos!G18)-Datos!BG18)/Datos!BG18," - ")</f>
        <v>9.6879146581904593E-2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0.16589147286821707</v>
      </c>
      <c r="C19" s="852">
        <f>IF(ISNUMBER(
   IF(Criterios!B14="SI",(Datos!J19-Datos!T19)/Datos!T19,(Datos!J19+Datos!AD19-(Datos!T19+Datos!AL19))/(Datos!T19+Datos!AL19))
     ),IF(Criterios!B14="SI",(Datos!J19-Datos!T19)/Datos!T19,(Datos!J19+Datos!AD19-(Datos!T19+Datos!AL19))/(Datos!T19+Datos!AL19))," - ")</f>
        <v>1.3757260776520942E-2</v>
      </c>
      <c r="D19" s="852">
        <f>IF(ISNUMBER(
   IF(Criterios!B14="SI",(Datos!K19-Datos!U19)/Datos!U19,(Datos!K19+Datos!AE19-(Datos!U19+Datos!AM19))/(Datos!U19+Datos!AM19))
     ),IF(Criterios!B14="SI",(Datos!K19-Datos!U19)/Datos!U19,(Datos!K19+Datos!AE19-(Datos!U19+Datos!AM19))/(Datos!U19+Datos!AM19))," - ")</f>
        <v>0.10950920245398774</v>
      </c>
      <c r="E19" s="852">
        <f>IF(ISNUMBER(
   IF(Criterios!B14="SI",(Datos!L19-Datos!V19)/Datos!V19,(Datos!L19+Datos!AF19-(Datos!V19+Datos!AN19))/(Datos!V19+Datos!AN19))
     ),IF(Criterios!B14="SI",(Datos!L19-Datos!V19)/Datos!V19,(Datos!L19+Datos!AF19-(Datos!V19+Datos!AN19))/(Datos!V19+Datos!AN19))," - ")</f>
        <v>6.3761955366631248E-2</v>
      </c>
      <c r="F19" s="853">
        <f>IF(ISNUMBER((Datos!M19-Datos!W19)/Datos!W19),(Datos!M19-Datos!W19)/Datos!W19," - ")</f>
        <v>9.2391304347826081E-2</v>
      </c>
      <c r="G19" s="854">
        <f>IF(ISNUMBER((Datos!N19-Datos!X19)/Datos!X19),(Datos!N19-Datos!X19)/Datos!X19," - ")</f>
        <v>0.14048410061699099</v>
      </c>
      <c r="H19" s="854">
        <f>IF(ISNUMBER(((NºAsuntos!G19/NºAsuntos!E19)-Datos!BD19)/Datos!BD19),((NºAsuntos!G19/NºAsuntos!E19)-Datos!BD19)/Datos!BD19," - ")</f>
        <v>9.4452533542519382E-2</v>
      </c>
      <c r="I19" s="854">
        <f>IF(ISNUMBER(((NºAsuntos!I19/NºAsuntos!G19)-Datos!BE19)/Datos!BE19),((NºAsuntos!I19/NºAsuntos!G19)-Datos!BE19)/Datos!BE19," - ")</f>
        <v>-4.123196723936471E-2</v>
      </c>
      <c r="J19" s="854">
        <f>IF(ISNUMBER((('Resol  Asuntos'!D19/NºAsuntos!G19)-Datos!BF19)/Datos!BF19),(('Resol  Asuntos'!D19/NºAsuntos!G19)-Datos!BF19)/Datos!BF19," - ")</f>
        <v>-1.5428351624574819E-2</v>
      </c>
      <c r="K19" s="854">
        <f>IF(ISNUMBER((((NºAsuntos!C19+NºAsuntos!E19)/NºAsuntos!G19)-Datos!BG19)/Datos!BG19),(((NºAsuntos!C19+NºAsuntos!E19)/NºAsuntos!G19)-Datos!BG19)/Datos!BG19," - ")</f>
        <v>-6.7879503565839898E-3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2.7725118483412321E-2</v>
      </c>
      <c r="C20" s="799">
        <f>IF(ISNUMBER(
   IF(J_V="SI",(Datos!J20-Datos!T20)/Datos!T20,(Datos!J20+Datos!Z20-(Datos!T20+Datos!AH20))/(Datos!T20+Datos!AH20))
     ),IF(J_V="SI",(Datos!J20-Datos!T20)/Datos!T20,(Datos!J20+Datos!Z20-(Datos!T20+Datos!AH20))/(Datos!T20+Datos!AH20))," - ")</f>
        <v>0.21551120448179273</v>
      </c>
      <c r="D20" s="799">
        <f>IF(ISNUMBER(
   IF(J_V="SI",(Datos!K20-Datos!U20)/Datos!U20,(Datos!K20+Datos!AA20-(Datos!U20+Datos!AI20))/(Datos!U20+Datos!AI20))
     ),IF(J_V="SI",(Datos!K20-Datos!U20)/Datos!U20,(Datos!K20+Datos!AA20-(Datos!U20+Datos!AI20))/(Datos!U20+Datos!AI20))," - ")</f>
        <v>4.0871074640997318E-2</v>
      </c>
      <c r="E20" s="799">
        <f>IF(ISNUMBER(
   IF(J_V="SI",(Datos!L20-Datos!V20)/Datos!V20,(Datos!L20+Datos!AB20-(Datos!V20+Datos!AJ20))/(Datos!V20+Datos!AJ20))
     ),IF(J_V="SI",(Datos!L20-Datos!V20)/Datos!V20,(Datos!L20+Datos!AB20-(Datos!V20+Datos!AJ20))/(Datos!V20+Datos!AJ20))," - ")</f>
        <v>7.8073572120038723E-2</v>
      </c>
      <c r="F20" s="800">
        <f>IF(ISNUMBER((Datos!M20-Datos!W20)/Datos!W20),(Datos!M20-Datos!W20)/Datos!W20," - ")</f>
        <v>-0.14609053497942387</v>
      </c>
      <c r="G20" s="801">
        <f>IF(ISNUMBER((Datos!N20-Datos!X20)/Datos!X20),(Datos!N20-Datos!X20)/Datos!X20," - ")</f>
        <v>-4.7009663097414466E-2</v>
      </c>
      <c r="H20" s="802">
        <f>IF(ISNUMBER((Tasas!B20-Datos!BD20)/Datos!BD20),(Tasas!B20-Datos!BD20)/Datos!BD20," - ")</f>
        <v>-0.14367628138421767</v>
      </c>
      <c r="I20" s="803">
        <f>IF(ISNUMBER((Tasas!C20-Datos!BE20)/Datos!BE20),(Tasas!C20-Datos!BE20)/Datos!BE20," - ")</f>
        <v>3.5741695955834707E-2</v>
      </c>
      <c r="J20" s="804">
        <f>IF(ISNUMBER((Tasas!D20-Datos!BF20)/Datos!BF20),(Tasas!D20-Datos!BF20)/Datos!BF20," - ")</f>
        <v>-0.62010050701321573</v>
      </c>
      <c r="K20" s="804">
        <f>IF(ISNUMBER((Tasas!E20-Datos!BG20)/Datos!BG20),(Tasas!E20-Datos!BG20)/Datos!BG20," - ")</f>
        <v>2.5805109575493843E-2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0eKwDTHTdjowjLXeWxvykVo3o5x84isJCvrlRtYSnvwitHFhGcucLbZqvHFyRJIHi+v7P2UVT0Bqw4zukVSLew==" saltValue="T0+9yiXKAzO9Jo4QmgwTy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MADRID</v>
      </c>
    </row>
    <row r="3" spans="1:7" ht="19.5">
      <c r="A3" s="435" t="s">
        <v>12</v>
      </c>
      <c r="B3" s="390" t="str">
        <f>Criterios!A10 &amp;"  "&amp;Criterios!B10</f>
        <v>Provincias  MADRID</v>
      </c>
    </row>
    <row r="4" spans="1:7" ht="11.25" customHeight="1" thickBot="1">
      <c r="B4" s="390" t="str">
        <f>Criterios!A11 &amp;"  "&amp;Criterios!B11</f>
        <v>Resumenes por Partidos Judiciales  ARGANDA DEL REY</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0.69233216671969455</v>
      </c>
      <c r="C9" s="442">
        <f>IF(ISNUMBER(NºAsuntos!I9/NºAsuntos!G9),NºAsuntos!I9/NºAsuntos!G9," - ")</f>
        <v>5.4990808823529411</v>
      </c>
      <c r="D9" s="443">
        <f>IF(ISNUMBER('Resol  Asuntos'!D9/NºAsuntos!G9),'Resol  Asuntos'!D9/NºAsuntos!G9," - ")</f>
        <v>0.13419117647058823</v>
      </c>
      <c r="E9" s="444">
        <f>IF(ISNUMBER((NºAsuntos!C9+NºAsuntos!E9)/NºAsuntos!G9),(NºAsuntos!C9+NºAsuntos!E9)/NºAsuntos!G9," - ")</f>
        <v>6.4990808823529411</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2.2923076923076922</v>
      </c>
      <c r="D10" s="443">
        <f>IF(ISNUMBER('Resol  Asuntos'!D10/NºAsuntos!G10),'Resol  Asuntos'!D10/NºAsuntos!G10," - ")</f>
        <v>0.32307692307692309</v>
      </c>
      <c r="E10" s="444">
        <f>IF(ISNUMBER((NºAsuntos!C10+NºAsuntos!E10)/NºAsuntos!G10),(NºAsuntos!C10+NºAsuntos!E10)/NºAsuntos!G10," - ")</f>
        <v>3.2923076923076922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1.7613365155131264</v>
      </c>
      <c r="C12" s="442">
        <f>IF(ISNUMBER(NºAsuntos!I12/NºAsuntos!G12),NºAsuntos!I12/NºAsuntos!G12," - ")</f>
        <v>6.9823848238482382</v>
      </c>
      <c r="D12" s="443">
        <f>IF(ISNUMBER('Resol  Asuntos'!D12/NºAsuntos!G12),'Resol  Asuntos'!D12/NºAsuntos!G12," - ")</f>
        <v>0.15582655826558264</v>
      </c>
      <c r="E12" s="444">
        <f>IF(ISNUMBER((NºAsuntos!C12+NºAsuntos!E12)/NºAsuntos!G12),(NºAsuntos!C12+NºAsuntos!E12)/NºAsuntos!G12," - ")</f>
        <v>7.7127371273712741</v>
      </c>
      <c r="G12" s="462"/>
    </row>
    <row r="13" spans="1:7" ht="14.25" thickTop="1" thickBot="1">
      <c r="A13" s="845" t="str">
        <f>Datos!A13</f>
        <v>TOTAL</v>
      </c>
      <c r="B13" s="855">
        <f>IF(ISNUMBER(NºAsuntos!G13/NºAsuntos!E13),NºAsuntos!G13/NºAsuntos!E13," - ")</f>
        <v>0.82133995037220842</v>
      </c>
      <c r="C13" s="856">
        <f>IF(ISNUMBER(NºAsuntos!I13/NºAsuntos!G13),NºAsuntos!I13/NºAsuntos!G13," - ")</f>
        <v>5.7965760322255795</v>
      </c>
      <c r="D13" s="857">
        <f>IF(ISNUMBER('Resol  Asuntos'!D13/NºAsuntos!G13),'Resol  Asuntos'!D13/NºAsuntos!G13," - ")</f>
        <v>0.14367237327962404</v>
      </c>
      <c r="E13" s="858">
        <f>IF(ISNUMBER((NºAsuntos!C13+NºAsuntos!E13)/NºAsuntos!G13),(NºAsuntos!C13+NºAsuntos!E13)/NºAsuntos!G13," - ")</f>
        <v>6.729775092312857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0.9747252747252747</v>
      </c>
      <c r="C15" s="442">
        <f>IF(ISNUMBER(NºAsuntos!I15/NºAsuntos!G15),NºAsuntos!I15/NºAsuntos!G15," - ")</f>
        <v>0.9477639984968057</v>
      </c>
      <c r="D15" s="443">
        <f>IF(ISNUMBER('Resol  Asuntos'!D15/NºAsuntos!G15),'Resol  Asuntos'!D15/NºAsuntos!G15," - ")</f>
        <v>0.11198797444569711</v>
      </c>
      <c r="E15" s="444">
        <f>IF(ISNUMBER((NºAsuntos!C15+NºAsuntos!E15)/NºAsuntos!G15),(NºAsuntos!C15+NºAsuntos!E15)/NºAsuntos!G15," - ")</f>
        <v>1.9417512213453589</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2.6975609756097563</v>
      </c>
      <c r="C17" s="442">
        <f>IF(ISNUMBER(NºAsuntos!I17/NºAsuntos!G17),NºAsuntos!I17/NºAsuntos!G17," - ")</f>
        <v>3.9204339963833634</v>
      </c>
      <c r="D17" s="443">
        <f>IF(ISNUMBER('Resol  Asuntos'!D17/NºAsuntos!G17),'Resol  Asuntos'!D17/NºAsuntos!G17," - ")</f>
        <v>0.15189873417721519</v>
      </c>
      <c r="E17" s="444">
        <f>IF(ISNUMBER((NºAsuntos!C17+NºAsuntos!E17)/NºAsuntos!G17),(NºAsuntos!C17+NºAsuntos!E17)/NºAsuntos!G17," - ")</f>
        <v>4.8842676311030742</v>
      </c>
      <c r="G17" s="462"/>
    </row>
    <row r="18" spans="1:7" ht="21.75" thickBot="1">
      <c r="A18" s="401" t="str">
        <f>Datos!A18</f>
        <v>Sección De Violencia sobre la Mujer del TI</v>
      </c>
      <c r="B18" s="441">
        <f>IF(ISNUMBER(NºAsuntos!G18/NºAsuntos!E18),NºAsuntos!G18/NºAsuntos!E18," - ")</f>
        <v>1.0577427821522309</v>
      </c>
      <c r="C18" s="442">
        <f>IF(ISNUMBER(NºAsuntos!I18/NºAsuntos!G18),NºAsuntos!I18/NºAsuntos!G18," - ")</f>
        <v>0.78163771712158814</v>
      </c>
      <c r="D18" s="443">
        <f>IF(ISNUMBER('Resol  Asuntos'!D18/NºAsuntos!G18),'Resol  Asuntos'!D18/NºAsuntos!G18," - ")</f>
        <v>4.9627791563275438E-2</v>
      </c>
      <c r="E18" s="444">
        <f>IF(ISNUMBER((NºAsuntos!C18+NºAsuntos!E18)/NºAsuntos!G18),(NºAsuntos!C18+NºAsuntos!E18)/NºAsuntos!G18," - ")</f>
        <v>1.7667493796526055</v>
      </c>
      <c r="G18" s="462"/>
    </row>
    <row r="19" spans="1:7" ht="14.25" thickTop="1" thickBot="1">
      <c r="A19" s="845" t="str">
        <f>Datos!A19</f>
        <v>TOTAL</v>
      </c>
      <c r="B19" s="855">
        <f>IF(ISNUMBER(NºAsuntos!G19/NºAsuntos!E19),NºAsuntos!G19/NºAsuntos!E19," - ")</f>
        <v>1.0907720144752715</v>
      </c>
      <c r="C19" s="856">
        <f>IF(ISNUMBER(NºAsuntos!I19/NºAsuntos!G19),NºAsuntos!I19/NºAsuntos!G19," - ")</f>
        <v>1.3837434337849046</v>
      </c>
      <c r="D19" s="859">
        <f>IF(ISNUMBER('Resol  Asuntos'!D19/NºAsuntos!G19),'Resol  Asuntos'!D19/NºAsuntos!G19," - ")</f>
        <v>0.11114183024606027</v>
      </c>
      <c r="E19" s="858">
        <f>IF(ISNUMBER((NºAsuntos!C19+NºAsuntos!E19)/NºAsuntos!G19),(NºAsuntos!C19+NºAsuntos!E19)/NºAsuntos!G19," - ")</f>
        <v>2.372131600774122</v>
      </c>
      <c r="G19" s="462"/>
    </row>
    <row r="20" spans="1:7" ht="15.75" customHeight="1" thickTop="1" thickBot="1">
      <c r="A20" s="790" t="str">
        <f>Datos!A20</f>
        <v>TOTAL JURISDICCIONES</v>
      </c>
      <c r="B20" s="805">
        <f>IF(ISNUMBER(NºAsuntos!G20/NºAsuntos!E20),NºAsuntos!G20/NºAsuntos!E20," - ")</f>
        <v>0.95002160449373474</v>
      </c>
      <c r="C20" s="806">
        <f>IF(ISNUMBER(NºAsuntos!I20/NºAsuntos!G20),NºAsuntos!I20/NºAsuntos!G20," - ")</f>
        <v>3.3767434808975136</v>
      </c>
      <c r="D20" s="807">
        <f>IF(ISNUMBER('Resol  Asuntos'!D20/NºAsuntos!G20),'Resol  Asuntos'!D20/NºAsuntos!G20," - ")</f>
        <v>0.12583383869011522</v>
      </c>
      <c r="E20" s="808">
        <f>IF(ISNUMBER((NºAsuntos!C20+NºAsuntos!E20)/NºAsuntos!G20),(NºAsuntos!C20+NºAsuntos!E20)/NºAsuntos!G20," - ")</f>
        <v>4.34020618556701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pWz8S7yLA6iDKsrtLyMuVzyjCaYeHUuzymKx9d0hsoaKTZhx4xvX3Xg+ZMmTLMK6nQ7Ke0VspygOiCkD+9whLg==" saltValue="lKQkcnO295wr2Xo5VpY5i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MADRID</v>
      </c>
      <c r="G2" s="262"/>
      <c r="H2" s="261"/>
      <c r="I2" s="261"/>
      <c r="J2" s="261"/>
      <c r="K2" s="261"/>
      <c r="L2" s="261" t="str">
        <f>Criterios!A10 &amp;"  "&amp;Criterios!B10</f>
        <v>Provincias  MADRID</v>
      </c>
      <c r="N2" s="261" t="str">
        <f>Criterios!A11 &amp;"  "&amp;Criterios!B11</f>
        <v>Resumenes por Partidos Judiciales  ARGANDA DEL REY</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161</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172</v>
      </c>
      <c r="Y9" s="333">
        <f>SUM(W9:X9)</f>
        <v>172</v>
      </c>
      <c r="Z9" s="334" t="str">
        <f>IF(ISNUMBER(Datos!CC9),Datos!CC9," - ")</f>
        <v xml:space="preserve"> - </v>
      </c>
      <c r="AA9" s="331" t="str">
        <f>IF(ISNUMBER(IF(J_V="SI",Datos!L9,Datos!L9+Datos!AB9)-IF(Monitorios="SI",Datos!CD9,0)),
                          IF(J_V="SI",Datos!L9,Datos!L9+Datos!AB9)-IF(Monitorios="SI",Datos!CD9,0),
                          " - ")</f>
        <v xml:space="preserve"> - </v>
      </c>
      <c r="AB9" s="333">
        <f>IF(ISNUMBER(Datos!R9),Datos!R9," - ")</f>
        <v>6605</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292</v>
      </c>
      <c r="AJ9" s="228" t="str">
        <f>IF(ISNUMBER(Datos!BW9),Datos!BW9," - ")</f>
        <v xml:space="preserve"> - </v>
      </c>
      <c r="AK9" s="227" t="str">
        <f>IF(ISNUMBER(Datos!BX9),Datos!BX9," - ")</f>
        <v xml:space="preserve"> - </v>
      </c>
      <c r="AL9" s="242">
        <f>IF(ISNUMBER(NºAsuntos!G9/NºAsuntos!E9),NºAsuntos!G9/NºAsuntos!E9," - ")</f>
        <v>0.69233216671969455</v>
      </c>
      <c r="AM9" s="259">
        <f>IF(ISNUMBER(((NºAsuntos!I9/NºAsuntos!G9)*11)/factor_trimestre),((NºAsuntos!I9/NºAsuntos!G9)*11)/factor_trimestre," - ")</f>
        <v>16.497242647058826</v>
      </c>
      <c r="AN9" s="243">
        <f>IF(ISNUMBER('Resol  Asuntos'!D9/NºAsuntos!G9),'Resol  Asuntos'!D9/NºAsuntos!G9," - ")</f>
        <v>0.13419117647058823</v>
      </c>
      <c r="AO9" s="244">
        <f>IF(ISNUMBER((NºAsuntos!C9+NºAsuntos!E9)/NºAsuntos!G9),(NºAsuntos!C9+NºAsuntos!E9)/NºAsuntos!G9," - ")</f>
        <v>6.4990808823529411</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149</v>
      </c>
      <c r="G10" s="332">
        <f>IF(ISNUMBER(Datos!I10),Datos!I10," - ")</f>
        <v>149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19</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65</v>
      </c>
      <c r="X10" s="225">
        <f>IF(ISNUMBER(Datos!Q10),Datos!Q10," - ")</f>
        <v>9</v>
      </c>
      <c r="Y10" s="333">
        <f t="shared" ref="Y10:Y12" si="0">SUM(W10:X10)</f>
        <v>74</v>
      </c>
      <c r="Z10" s="334" t="str">
        <f>IF(ISNUMBER(Datos!CC10),Datos!CC10," - ")</f>
        <v xml:space="preserve"> - </v>
      </c>
      <c r="AA10" s="331">
        <f>IF(ISNUMBER(Datos!L10),Datos!L10,"-")</f>
        <v>149</v>
      </c>
      <c r="AB10" s="333">
        <f>IF(ISNUMBER(Datos!R10),Datos!R10," - ")</f>
        <v>78</v>
      </c>
      <c r="AC10" s="333">
        <f t="shared" ref="AC10:AC12" si="1">IF(ISNUMBER(AA10+AB10),AA10+AB10," - ")</f>
        <v>227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21</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6.8769230769230774</v>
      </c>
      <c r="AN10" s="243">
        <f>IF(ISNUMBER('Resol  Asuntos'!D10/NºAsuntos!G10),'Resol  Asuntos'!D10/NºAsuntos!G10," - ")</f>
        <v>0.32307692307692309</v>
      </c>
      <c r="AO10" s="244">
        <f>IF(ISNUMBER((NºAsuntos!C10+NºAsuntos!E10)/NºAsuntos!G10),(NºAsuntos!C10+NºAsuntos!E10)/NºAsuntos!G10," - ")</f>
        <v>3.2923076923076922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133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92</v>
      </c>
      <c r="Y12" s="333">
        <f t="shared" si="0"/>
        <v>92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4531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115</v>
      </c>
      <c r="AJ12" s="228" t="str">
        <f>IF(ISNUMBER(Datos!BW12),Datos!BW12," - ")</f>
        <v xml:space="preserve"> - </v>
      </c>
      <c r="AK12" s="227" t="str">
        <f>IF(ISNUMBER(Datos!BX12),Datos!BX12," - ")</f>
        <v xml:space="preserve"> - </v>
      </c>
      <c r="AL12" s="242">
        <f>IF(ISNUMBER(NºAsuntos!G12/NºAsuntos!E12),NºAsuntos!G12/NºAsuntos!E12," - ")</f>
        <v>1.7613365155131264</v>
      </c>
      <c r="AM12" s="259">
        <f>IF(ISNUMBER(((NºAsuntos!I12/NºAsuntos!G12)*11)/factor_trimestre),((NºAsuntos!I12/NºAsuntos!G12)*11)/factor_trimestre," - ")</f>
        <v>20.947154471544714</v>
      </c>
      <c r="AN12" s="243">
        <f>IF(ISNUMBER('Resol  Asuntos'!D12/NºAsuntos!G12),'Resol  Asuntos'!D12/NºAsuntos!G12," - ")</f>
        <v>0.15582655826558264</v>
      </c>
      <c r="AO12" s="244">
        <f>IF(ISNUMBER((NºAsuntos!C12+NºAsuntos!E12)/NºAsuntos!G12),(NºAsuntos!C12+NºAsuntos!E12)/NºAsuntos!G12," - ")</f>
        <v>7.7127371273712741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149</v>
      </c>
      <c r="G13" s="863">
        <f t="shared" si="3"/>
        <v>149</v>
      </c>
      <c r="H13" s="862">
        <f t="shared" si="3"/>
        <v>0</v>
      </c>
      <c r="I13" s="864">
        <f t="shared" si="3"/>
        <v>0</v>
      </c>
      <c r="J13" s="864">
        <f t="shared" si="3"/>
        <v>0</v>
      </c>
      <c r="K13" s="864">
        <f t="shared" si="3"/>
        <v>0</v>
      </c>
      <c r="L13" s="864">
        <f t="shared" si="3"/>
        <v>313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65</v>
      </c>
      <c r="X13" s="864">
        <f t="shared" si="4"/>
        <v>273</v>
      </c>
      <c r="Y13" s="865">
        <f t="shared" si="4"/>
        <v>338</v>
      </c>
      <c r="Z13" s="865">
        <f t="shared" si="4"/>
        <v>0</v>
      </c>
      <c r="AA13" s="865">
        <f t="shared" si="4"/>
        <v>149</v>
      </c>
      <c r="AB13" s="865">
        <f t="shared" si="4"/>
        <v>11214</v>
      </c>
      <c r="AC13" s="865">
        <f t="shared" si="4"/>
        <v>227</v>
      </c>
      <c r="AD13" s="865">
        <f t="shared" si="4"/>
        <v>0</v>
      </c>
      <c r="AE13" s="869">
        <f t="shared" si="4"/>
        <v>0</v>
      </c>
      <c r="AF13" s="862">
        <f t="shared" si="4"/>
        <v>0</v>
      </c>
      <c r="AG13" s="870">
        <f t="shared" si="4"/>
        <v>0</v>
      </c>
      <c r="AH13" s="867">
        <f t="shared" si="4"/>
        <v>0</v>
      </c>
      <c r="AI13" s="862">
        <f t="shared" si="4"/>
        <v>428</v>
      </c>
      <c r="AJ13" s="864">
        <f t="shared" si="4"/>
        <v>0</v>
      </c>
      <c r="AK13" s="867">
        <f>SUBTOTAL(9,AK9:AK12)</f>
        <v>0</v>
      </c>
      <c r="AL13" s="871">
        <f>IF(ISNUMBER(NºAsuntos!G13/NºAsuntos!E13),NºAsuntos!G13/NºAsuntos!E13," - ")</f>
        <v>0.82133995037220842</v>
      </c>
      <c r="AM13" s="871">
        <f>IF(ISNUMBER(((NºAsuntos!I13/NºAsuntos!G13)*11)/factor_trimestre),((NºAsuntos!I13/NºAsuntos!G13)*11)/factor_trimestre," - ")</f>
        <v>17.389728096676741</v>
      </c>
      <c r="AN13" s="872">
        <f>IF(ISNUMBER('Resol  Asuntos'!D13/NºAsuntos!G13),'Resol  Asuntos'!D13/NºAsuntos!G13," - ")</f>
        <v>0.14367237327962404</v>
      </c>
      <c r="AO13" s="873">
        <f>IF(ISNUMBER((NºAsuntos!C13+NºAsuntos!E13)/NºAsuntos!G13),(NºAsuntos!C13+NºAsuntos!E13)/NºAsuntos!G13," - ")</f>
        <v>6.729775092312857</v>
      </c>
      <c r="AP13" s="874" t="str">
        <f t="shared" si="2"/>
        <v xml:space="preserve"> - </v>
      </c>
      <c r="AQ13" s="874">
        <f>IF(ISNUMBER((H13-W13+K13)/(F13)),(H13-W13+K13)/(F13)," - ")</f>
        <v>-0.43624161073825501</v>
      </c>
      <c r="AR13" s="875">
        <f>IF(ISNUMBER((Datos!P13-Datos!Q13)/(Datos!R13-Datos!P13+Datos!Q13)),(Datos!P13-Datos!Q13)/(Datos!R13-Datos!P13+Datos!Q13)," - ")</f>
        <v>3.5797386790764273E-3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4</v>
      </c>
      <c r="B15" s="274" t="s">
        <v>397</v>
      </c>
      <c r="C15" s="159" t="str">
        <f>Datos!A15</f>
        <v xml:space="preserve">Seccion Instruccion Del T.I.                   </v>
      </c>
      <c r="D15" s="159"/>
      <c r="E15" s="1020">
        <f>IF(ISNUMBER(Datos!AQ15),Datos!AQ15," - ")</f>
        <v>4</v>
      </c>
      <c r="F15" s="224">
        <f>IF(ISNUMBER(AA15+W15-Datos!J15-K15),AA15+W15-Datos!J15-K15," - ")</f>
        <v>2453</v>
      </c>
      <c r="G15" s="332">
        <f>IF(ISNUMBER(IF(D_I="SI",Datos!I15,Datos!I15+Datos!AC15)),IF(D_I="SI",Datos!I15,Datos!I15+Datos!AC15)," - ")</f>
        <v>2437</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58</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2661</v>
      </c>
      <c r="X15" s="225">
        <f>IF(ISNUMBER(Datos!Q15),Datos!Q15," - ")</f>
        <v>85</v>
      </c>
      <c r="Y15" s="333">
        <f>SUM(W15)</f>
        <v>2661</v>
      </c>
      <c r="Z15" s="334" t="str">
        <f>IF(ISNUMBER(Datos!CC15),Datos!CC15," - ")</f>
        <v xml:space="preserve"> - </v>
      </c>
      <c r="AA15" s="331">
        <f>IF(ISNUMBER(IF(D_I="SI",Datos!L15,Datos!L15+Datos!AF15)),IF(D_I="SI",Datos!L15,Datos!L15+Datos!AF15)," - ")</f>
        <v>2522</v>
      </c>
      <c r="AB15" s="333">
        <f>IF(ISNUMBER(Datos!R15),Datos!R15," - ")</f>
        <v>211</v>
      </c>
      <c r="AC15" s="333">
        <f t="shared" ref="AC15:AC18" si="6">IF(ISNUMBER(AA15+AB15),AA15+AB15," - ")</f>
        <v>2733</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298</v>
      </c>
      <c r="AJ15" s="230" t="str">
        <f>IF(ISNUMBER(Datos!BW15),Datos!BW15," - ")</f>
        <v xml:space="preserve"> - </v>
      </c>
      <c r="AK15" s="231" t="str">
        <f>IF(ISNUMBER(Datos!BX15),Datos!BX15," - ")</f>
        <v xml:space="preserve"> - </v>
      </c>
      <c r="AL15" s="242">
        <f>IF(ISNUMBER(NºAsuntos!G15/NºAsuntos!E15),NºAsuntos!G15/NºAsuntos!E15," - ")</f>
        <v>0.9747252747252747</v>
      </c>
      <c r="AM15" s="259">
        <f>IF(ISNUMBER(((NºAsuntos!I15/NºAsuntos!G15)*11)/factor_trimestre),((NºAsuntos!I15/NºAsuntos!G15)*11)/factor_trimestre," - ")</f>
        <v>2.843291995490417</v>
      </c>
      <c r="AN15" s="243">
        <f>IF(ISNUMBER('Resol  Asuntos'!D15/NºAsuntos!G15),'Resol  Asuntos'!D15/NºAsuntos!G15," - ")</f>
        <v>0.11198797444569711</v>
      </c>
      <c r="AO15" s="244">
        <f>IF(ISNUMBER((NºAsuntos!C15+NºAsuntos!E15)/NºAsuntos!G15),(NºAsuntos!C15+NºAsuntos!E15)/NºAsuntos!G15," - ")</f>
        <v>1.9417512213453589</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f>IF(ISNUMBER(AA17+W17-Datos!J17-K17),AA17+W17-Datos!J17-K17," - ")</f>
        <v>2516</v>
      </c>
      <c r="G17" s="332">
        <f>IF(ISNUMBER(IF(D_I="SI",Datos!I17,Datos!I17+Datos!AC17)),IF(D_I="SI",Datos!I17,Datos!I17+Datos!AC17)," - ")</f>
        <v>2496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553</v>
      </c>
      <c r="X17" s="225">
        <f>IF(ISNUMBER(Datos!Q17),Datos!Q17," - ")</f>
        <v>94</v>
      </c>
      <c r="Y17" s="333">
        <f t="shared" ref="Y17:Y18" si="9">SUM(W17:X17)</f>
        <v>647</v>
      </c>
      <c r="Z17" s="334" t="str">
        <f>IF(ISNUMBER(Datos!CC17),Datos!CC17," - ")</f>
        <v xml:space="preserve"> - </v>
      </c>
      <c r="AA17" s="331">
        <f>IF(ISNUMBER(IF(D_I="SI",Datos!L17,Datos!L17+Datos!AF17)),IF(D_I="SI",Datos!L17,Datos!L17+Datos!AF17)," - ")</f>
        <v>2168</v>
      </c>
      <c r="AB17" s="333">
        <f>IF(ISNUMBER(Datos!R17),Datos!R17," - ")</f>
        <v>300</v>
      </c>
      <c r="AC17" s="333">
        <f t="shared" si="6"/>
        <v>2468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84</v>
      </c>
      <c r="AJ17" s="230" t="str">
        <f>IF(ISNUMBER(Datos!BW17),Datos!BW17," - ")</f>
        <v xml:space="preserve"> - </v>
      </c>
      <c r="AK17" s="231" t="str">
        <f>IF(ISNUMBER(Datos!BX17),Datos!BX17," - ")</f>
        <v xml:space="preserve"> - </v>
      </c>
      <c r="AL17" s="242">
        <f>IF(ISNUMBER(NºAsuntos!G17/NºAsuntos!E17),NºAsuntos!G17/NºAsuntos!E17," - ")</f>
        <v>2.6975609756097563</v>
      </c>
      <c r="AM17" s="259">
        <f>IF(ISNUMBER(((NºAsuntos!I17/NºAsuntos!G17)*11)/factor_trimestre),((NºAsuntos!I17/NºAsuntos!G17)*11)/factor_trimestre," - ")</f>
        <v>11.761301989150091</v>
      </c>
      <c r="AN17" s="243">
        <f>IF(ISNUMBER('Resol  Asuntos'!D17/NºAsuntos!G17),'Resol  Asuntos'!D17/NºAsuntos!G17," - ")</f>
        <v>0.15189873417721519</v>
      </c>
      <c r="AO17" s="244">
        <f>IF(ISNUMBER((NºAsuntos!C17+NºAsuntos!E17)/NºAsuntos!G17),(NºAsuntos!C17+NºAsuntos!E17)/NºAsuntos!G17," - ")</f>
        <v>4.8842676311030742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331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4</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403</v>
      </c>
      <c r="X18" s="225">
        <f>IF(ISNUMBER(Datos!Q18),Datos!Q18," - ")</f>
        <v>8</v>
      </c>
      <c r="Y18" s="333">
        <f t="shared" si="9"/>
        <v>411</v>
      </c>
      <c r="Z18" s="334" t="str">
        <f>IF(ISNUMBER(Datos!CC18),Datos!CC18," - ")</f>
        <v xml:space="preserve"> - </v>
      </c>
      <c r="AA18" s="331">
        <f>IF(ISNUMBER(Datos!L18),Datos!L18,"-")</f>
        <v>315</v>
      </c>
      <c r="AB18" s="333">
        <f>IF(ISNUMBER(Datos!R18),Datos!R18," - ")</f>
        <v>6</v>
      </c>
      <c r="AC18" s="333">
        <f t="shared" si="6"/>
        <v>321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20</v>
      </c>
      <c r="AJ18" s="230" t="str">
        <f>IF(ISNUMBER(Datos!BW18),Datos!BW18," - ")</f>
        <v xml:space="preserve"> - </v>
      </c>
      <c r="AK18" s="231" t="str">
        <f>IF(ISNUMBER(Datos!BX18),Datos!BX18," - ")</f>
        <v xml:space="preserve"> - </v>
      </c>
      <c r="AL18" s="242">
        <f>IF(ISNUMBER(NºAsuntos!G18/NºAsuntos!E18),NºAsuntos!G18/NºAsuntos!E18," - ")</f>
        <v>1.0577427821522309</v>
      </c>
      <c r="AM18" s="259">
        <f>IF(ISNUMBER(((NºAsuntos!I18/NºAsuntos!G18)*11)/factor_trimestre),((NºAsuntos!I18/NºAsuntos!G18)*11)/factor_trimestre," - ")</f>
        <v>2.3449131513647647</v>
      </c>
      <c r="AN18" s="243">
        <f>IF(ISNUMBER('Resol  Asuntos'!D18/NºAsuntos!G18),'Resol  Asuntos'!D18/NºAsuntos!G18," - ")</f>
        <v>4.9627791563275438E-2</v>
      </c>
      <c r="AO18" s="244">
        <f>IF(ISNUMBER((NºAsuntos!C18+NºAsuntos!E18)/NºAsuntos!G18),(NºAsuntos!C18+NºAsuntos!E18)/NºAsuntos!G18," - ")</f>
        <v>1.7667493796526055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6</v>
      </c>
      <c r="F19" s="862">
        <f>SUBTOTAL(9,F14:F18)</f>
        <v>4969</v>
      </c>
      <c r="G19" s="863">
        <f>SUBTOTAL(9,G15:G18)</f>
        <v>5264</v>
      </c>
      <c r="H19" s="862">
        <f t="shared" ref="H19:O19" si="12">SUBTOTAL(9,H14:H18)</f>
        <v>0</v>
      </c>
      <c r="I19" s="864">
        <f t="shared" si="12"/>
        <v>0</v>
      </c>
      <c r="J19" s="864">
        <f t="shared" si="12"/>
        <v>0</v>
      </c>
      <c r="K19" s="864">
        <f t="shared" si="12"/>
        <v>0</v>
      </c>
      <c r="L19" s="864">
        <f t="shared" si="12"/>
        <v>141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3617</v>
      </c>
      <c r="X19" s="864">
        <f t="shared" si="13"/>
        <v>187</v>
      </c>
      <c r="Y19" s="865">
        <f t="shared" si="13"/>
        <v>3719</v>
      </c>
      <c r="Z19" s="865">
        <f t="shared" si="13"/>
        <v>0</v>
      </c>
      <c r="AA19" s="865">
        <f t="shared" si="13"/>
        <v>5005</v>
      </c>
      <c r="AB19" s="865">
        <f t="shared" si="13"/>
        <v>517</v>
      </c>
      <c r="AC19" s="865">
        <f t="shared" si="13"/>
        <v>5522</v>
      </c>
      <c r="AD19" s="865">
        <f t="shared" si="13"/>
        <v>0</v>
      </c>
      <c r="AE19" s="869">
        <f t="shared" si="13"/>
        <v>0</v>
      </c>
      <c r="AF19" s="862">
        <f t="shared" si="13"/>
        <v>0</v>
      </c>
      <c r="AG19" s="870">
        <f t="shared" si="13"/>
        <v>0</v>
      </c>
      <c r="AH19" s="867">
        <f t="shared" si="13"/>
        <v>0</v>
      </c>
      <c r="AI19" s="862">
        <f t="shared" si="13"/>
        <v>402</v>
      </c>
      <c r="AJ19" s="864">
        <f t="shared" si="13"/>
        <v>0</v>
      </c>
      <c r="AK19" s="867">
        <f t="shared" si="13"/>
        <v>0</v>
      </c>
      <c r="AL19" s="871">
        <f>IF(ISNUMBER(NºAsuntos!G19/NºAsuntos!E19),NºAsuntos!G19/NºAsuntos!E19," - ")</f>
        <v>1.0907720144752715</v>
      </c>
      <c r="AM19" s="871">
        <f>IF(ISNUMBER(((NºAsuntos!I19/NºAsuntos!G19)*11)/factor_trimestre),((NºAsuntos!I19/NºAsuntos!G19)*11)/factor_trimestre," - ")</f>
        <v>4.1512303013547136</v>
      </c>
      <c r="AN19" s="872">
        <f>IF(ISNUMBER('Resol  Asuntos'!D19/NºAsuntos!G19),'Resol  Asuntos'!D19/NºAsuntos!G19," - ")</f>
        <v>0.11114183024606027</v>
      </c>
      <c r="AO19" s="873">
        <f>IF(ISNUMBER((NºAsuntos!C19+NºAsuntos!E19)/NºAsuntos!G19),(NºAsuntos!C19+NºAsuntos!E19)/NºAsuntos!G19," - ")</f>
        <v>2.372131600774122</v>
      </c>
      <c r="AP19" s="874" t="str">
        <f t="shared" si="2"/>
        <v xml:space="preserve"> - </v>
      </c>
      <c r="AQ19" s="874">
        <f>IF(ISNUMBER((H19-W19+K19)/(F19)),(H19-W19+K19)/(F19)," - ")</f>
        <v>-0.72791306097806396</v>
      </c>
      <c r="AR19" s="875">
        <f>IF(ISNUMBER((Datos!P19-Datos!Q19)/(Datos!R19-Datos!P19+Datos!Q19)),(Datos!P19-Datos!Q19)/(Datos!R19-Datos!P19+Datos!Q19)," - ")</f>
        <v>-8.1705150976909419E-2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14</v>
      </c>
      <c r="F20" s="817">
        <f t="shared" si="15"/>
        <v>5118</v>
      </c>
      <c r="G20" s="818">
        <f t="shared" si="15"/>
        <v>5413</v>
      </c>
      <c r="H20" s="817">
        <f t="shared" si="15"/>
        <v>0</v>
      </c>
      <c r="I20" s="819">
        <f t="shared" si="15"/>
        <v>0</v>
      </c>
      <c r="J20" s="819">
        <f t="shared" si="15"/>
        <v>0</v>
      </c>
      <c r="K20" s="878">
        <f t="shared" si="15"/>
        <v>0</v>
      </c>
      <c r="L20" s="819">
        <f t="shared" si="15"/>
        <v>454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3682</v>
      </c>
      <c r="X20" s="818">
        <f t="shared" si="16"/>
        <v>460</v>
      </c>
      <c r="Y20" s="825">
        <f t="shared" si="16"/>
        <v>4057</v>
      </c>
      <c r="Z20" s="825">
        <f t="shared" si="16"/>
        <v>0</v>
      </c>
      <c r="AA20" s="825">
        <f t="shared" si="16"/>
        <v>5154</v>
      </c>
      <c r="AB20" s="825">
        <f t="shared" si="16"/>
        <v>11731</v>
      </c>
      <c r="AC20" s="825">
        <f t="shared" si="16"/>
        <v>5749</v>
      </c>
      <c r="AD20" s="825">
        <f t="shared" si="16"/>
        <v>0</v>
      </c>
      <c r="AE20" s="827">
        <f t="shared" si="16"/>
        <v>0</v>
      </c>
      <c r="AF20" s="828">
        <f t="shared" si="16"/>
        <v>0</v>
      </c>
      <c r="AG20" s="829">
        <f t="shared" si="16"/>
        <v>0</v>
      </c>
      <c r="AH20" s="827">
        <f t="shared" si="16"/>
        <v>0</v>
      </c>
      <c r="AI20" s="817">
        <f t="shared" si="16"/>
        <v>830</v>
      </c>
      <c r="AJ20" s="817">
        <f t="shared" si="16"/>
        <v>0</v>
      </c>
      <c r="AK20" s="827">
        <f t="shared" si="16"/>
        <v>0</v>
      </c>
      <c r="AL20" s="881">
        <f>IF(ISNUMBER(NºAsuntos!G20/NºAsuntos!E20),NºAsuntos!G20/NºAsuntos!E20," - ")</f>
        <v>0.95002160449373474</v>
      </c>
      <c r="AM20" s="882">
        <f>IF(ISNUMBER(((NºAsuntos!I20/NºAsuntos!G20)*11)/factor_trimestre),((NºAsuntos!I20/NºAsuntos!G20)*11)/factor_trimestre," - ")</f>
        <v>10.130230442692541</v>
      </c>
      <c r="AN20" s="882">
        <f>IF(ISNUMBER('Resol  Asuntos'!D20/NºAsuntos!G20),'Resol  Asuntos'!D20/NºAsuntos!G20," - ")</f>
        <v>0.12583383869011522</v>
      </c>
      <c r="AO20" s="883">
        <f>IF(ISNUMBER((NºAsuntos!C20+NºAsuntos!E20)/NºAsuntos!G20),(NºAsuntos!C20+NºAsuntos!E20)/NºAsuntos!G20," - ")</f>
        <v>4.34020618556701</v>
      </c>
      <c r="AP20" s="884" t="str">
        <f t="shared" si="2"/>
        <v xml:space="preserve"> - </v>
      </c>
      <c r="AQ20" s="885">
        <f>IF(OR(ISNUMBER(FIND("01",Criterios!A8,1)),ISNUMBER(FIND("02",Criterios!A8,1)),ISNUMBER(FIND("03",Criterios!A8,1)),ISNUMBER(FIND("04",Criterios!A8,1))),(I20-W20+K20)/(F20-K20),(H20-W20+K20)/(F20-K20))</f>
        <v>-0.7194216490816725</v>
      </c>
      <c r="AR20" s="886">
        <f>IF(ISNUMBER((Datos!P20-Datos!Q20)/(Datos!R20-Datos!P20+Datos!Q20)),(Datos!P20-Datos!Q20)/(Datos!R20-Datos!P20+Datos!Q20)," - ")</f>
        <v>-5.1120388514952714E-4</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1804.3333333333333</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3.011090610836324</v>
      </c>
      <c r="F22" s="251">
        <f>IF(ISNUMBER(STDEV(F8:F19)),STDEV(F8:F19),"-")</f>
        <v>2007.9646909246189</v>
      </c>
      <c r="G22" s="252">
        <f>IF(ISNUMBER(STDEV(G8:G19)),STDEV(G8:G19),"-")</f>
        <v>2024.7928947590335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1523.2987450486089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167.13040246637183</v>
      </c>
      <c r="AJ22" s="251">
        <f t="shared" si="20"/>
        <v>0</v>
      </c>
      <c r="AK22" s="253">
        <f t="shared" si="20"/>
        <v>0</v>
      </c>
      <c r="AL22" s="248">
        <f t="shared" si="20"/>
        <v>0.66020405799531579</v>
      </c>
      <c r="AM22" s="249">
        <f t="shared" si="20"/>
        <v>7.2953692972421464</v>
      </c>
      <c r="AN22" s="249">
        <f t="shared" si="20"/>
        <v>7.8621560354898673E-2</v>
      </c>
      <c r="AO22" s="250">
        <f t="shared" si="20"/>
        <v>2.3712252151163167</v>
      </c>
      <c r="AP22" s="290" t="str">
        <f t="shared" si="20"/>
        <v>-</v>
      </c>
      <c r="AQ22" s="291">
        <f t="shared" si="20"/>
        <v>0.20624286034308376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3T1nTzyAV+1XahBYa8WaV0yj3zThmt0RZHbewvwKj0uKsDdNh1UCRsW7IOrEAbn/Rwd1uSlEprrbN2IyoKW2HA==" saltValue="DT2BaF6vQelpdLUoB4pyA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MADRID</v>
      </c>
      <c r="E2" s="262"/>
    </row>
    <row r="3" spans="2:20" ht="17.25" customHeight="1">
      <c r="C3" s="266"/>
      <c r="D3" s="261" t="str">
        <f>Criterios!A10 &amp;"  "&amp;Criterios!B10</f>
        <v>Provincias  MADRID</v>
      </c>
      <c r="E3" s="262"/>
    </row>
    <row r="4" spans="2:20" ht="17.25" customHeight="1" thickBot="1">
      <c r="D4" s="261" t="str">
        <f>Criterios!A11 &amp;"  "&amp;Criterios!B11</f>
        <v>Resumenes por Partidos Judiciales  ARGANDA DEL REY</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0.12878787878787878</v>
      </c>
      <c r="E10" s="347">
        <f>IF(ISNUMBER((Datos!J10-Datos!T10)/Datos!T10),(Datos!J10-Datos!T10)/Datos!T10," - ")</f>
        <v>0.20370370370370369</v>
      </c>
      <c r="F10" s="347">
        <f>IF(ISNUMBER((Datos!K10-Datos!U10)/Datos!U10),(Datos!K10-Datos!U10)/Datos!U10," - ")</f>
        <v>0.58536585365853655</v>
      </c>
      <c r="G10" s="348">
        <f>IF(ISNUMBER((Datos!L10-Datos!V10)/Datos!V10),(Datos!L10-Datos!V10)/Datos!V10," - ")</f>
        <v>0</v>
      </c>
      <c r="H10" s="229">
        <f>IF(ISNUMBER((Datos!M10-Datos!W10)/Datos!W10),(Datos!M10-Datos!W10)/Datos!W10," - ")</f>
        <v>0.5</v>
      </c>
      <c r="I10" s="349">
        <f>IF(ISNUMBER((Tasas!C10-Datos!BE10)/Datos!BE10),(Tasas!C10-Datos!BE10)/Datos!BE10," - ")</f>
        <v>-0.36923076923076931</v>
      </c>
      <c r="J10" s="348">
        <f>IF(ISNUMBER((Tasas!D10-Datos!BF10)/Datos!BF10),(Tasas!D10-Datos!BF10)/Datos!BF10," - ")</f>
        <v>-5.3846153846153863E-2</v>
      </c>
      <c r="K10" s="350">
        <f>IF(ISNUMBER((Tasas!E10-Datos!BG10)/Datos!BG10),(Tasas!E10-Datos!BG10)/Datos!BG10," - ")</f>
        <v>-0.27427626137303551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-0.80508474576271183</v>
      </c>
      <c r="I12" s="349">
        <f>IF(ISNUMBER((Tasas!C12-Datos!BE12)/Datos!BE12),(Tasas!C12-Datos!BE12)/Datos!BE12," - ")</f>
        <v>0.34116919683684999</v>
      </c>
      <c r="J12" s="348">
        <f>IF(ISNUMBER((Tasas!D12-Datos!BF12)/Datos!BF12),(Tasas!D12-Datos!BF12)/Datos!BF12," - ")</f>
        <v>-0.7244674252217187</v>
      </c>
      <c r="K12" s="350">
        <f>IF(ISNUMBER((Tasas!E12-Datos!BG12)/Datos!BG12),(Tasas!E12-Datos!BG12)/Datos!BG12," - ")</f>
        <v>0.24288056893307799</v>
      </c>
      <c r="M12" t="e">
        <f>IF(Monitorios="SI",Datos!CE12,0)</f>
        <v>#REF!</v>
      </c>
      <c r="N12" t="e">
        <f>IF(Monitorios="SI",Datos!CF12,0)</f>
        <v>#REF!</v>
      </c>
      <c r="O12" t="e">
        <f>IF(Monitorios="SI",Datos!CG12,0)</f>
        <v>#REF!</v>
      </c>
      <c r="P12" t="e">
        <f>IF(Monitorios="SI",Datos!CH12,0)</f>
        <v>#REF!</v>
      </c>
      <c r="Q12">
        <f>IF(J_V="SI",0,Datos!AG12)</f>
        <v>263</v>
      </c>
      <c r="R12">
        <f>IF(J_V="SI",0,Datos!AH12)</f>
        <v>282</v>
      </c>
      <c r="S12">
        <f>IF(J_V="SI",0,Datos!AI12)</f>
        <v>224</v>
      </c>
      <c r="T12">
        <f>IF(J_V="SI",0,Datos!AJ12)</f>
        <v>321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-0.29139072847682118</v>
      </c>
      <c r="I13" s="356">
        <f>IF(ISNUMBER((Tasas!C13-Datos!BE13)/Datos!BE13),(Tasas!C13-Datos!BE13)/Datos!BE13," - ")</f>
        <v>0.11789811665046125</v>
      </c>
      <c r="J13" s="354">
        <f>IF(ISNUMBER((Tasas!D13-Datos!BF13)/Datos!BF13),(Tasas!D13-Datos!BF13)/Datos!BF13," - ")</f>
        <v>-0.74461011404887167</v>
      </c>
      <c r="K13" s="357">
        <f>IF(ISNUMBER((Tasas!E13-Datos!BG13)/Datos!BG13),(Tasas!E13-Datos!BG13)/Datos!BG13," - ")</f>
        <v>8.8380004154665168E-2</v>
      </c>
      <c r="M13" t="e">
        <f>IF(Monitorios="SI",Datos!CE13,0)</f>
        <v>#REF!</v>
      </c>
      <c r="N13" t="e">
        <f>IF(Monitorios="SI",Datos!CF13,0)</f>
        <v>#REF!</v>
      </c>
      <c r="O13" t="e">
        <f>IF(Monitorios="SI",Datos!CG13,0)</f>
        <v>#REF!</v>
      </c>
      <c r="P13" t="e">
        <f>IF(Monitorios="SI",Datos!CH13,0)</f>
        <v>#REF!</v>
      </c>
      <c r="Q13">
        <f>IF(J_V="SI",0,Datos!AG13)</f>
        <v>263</v>
      </c>
      <c r="R13">
        <f>IF(J_V="SI",0,Datos!AH13)</f>
        <v>282</v>
      </c>
      <c r="S13">
        <f>IF(J_V="SI",0,Datos!AI13)</f>
        <v>224</v>
      </c>
      <c r="T13">
        <f>IF(J_V="SI",0,Datos!AJ13)</f>
        <v>321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-0.40964995269631033</v>
      </c>
      <c r="E17" s="347">
        <f>IF(ISNUMBER(
   IF(D_I="SI",(Datos!J17-Datos!T17)/Datos!T17,(Datos!J17+Datos!AD17-(Datos!T17+Datos!AL17))/(Datos!T17+Datos!AL17))
     ),IF(D_I="SI",(Datos!J17-Datos!T17)/Datos!T17,(Datos!J17+Datos!AD17-(Datos!T17+Datos!AL17))/(Datos!T17+Datos!AL17))," - ")</f>
        <v>-0.92921270718232041</v>
      </c>
      <c r="F17" s="347">
        <f>IF(ISNUMBER(
   IF(D_I="SI",(Datos!K17-Datos!U17)/Datos!U17,(Datos!K17+Datos!AE17-(Datos!U17+Datos!AM17))/(Datos!U17+Datos!AM17))
     ),IF(D_I="SI",(Datos!K17-Datos!U17)/Datos!U17,(Datos!K17+Datos!AE17-(Datos!U17+Datos!AM17))/(Datos!U17+Datos!AM17))," - ")</f>
        <v>-0.8058968058968059</v>
      </c>
      <c r="G17" s="348">
        <f>IF(ISNUMBER(
   IF(D_I="SI",(Datos!L17-Datos!V17)/Datos!V17,(Datos!L17+Datos!AF17-(Datos!V17+Datos!AN17))/(Datos!V17+Datos!AN17))
     ),IF(D_I="SI",(Datos!L17-Datos!V17)/Datos!V17,(Datos!L17+Datos!AF17-(Datos!V17+Datos!AN17))/(Datos!V17+Datos!AN17))," - ")</f>
        <v>-0.50126524039567522</v>
      </c>
      <c r="H17" s="229">
        <f>IF(ISNUMBER((Datos!M17-Datos!W17)/Datos!W17),(Datos!M17-Datos!W17)/Datos!W17," - ")</f>
        <v>-0.7640449438202247</v>
      </c>
      <c r="I17" s="349">
        <f>IF(ISNUMBER((Tasas!C17-Datos!BE17)/Datos!BE17),(Tasas!C17-Datos!BE17)/Datos!BE17," - ")</f>
        <v>1.5694309766956989</v>
      </c>
      <c r="J17" s="348">
        <f>IF(ISNUMBER((Tasas!D17-Datos!BF17)/Datos!BF17),(Tasas!D17-Datos!BF17)/Datos!BF17," - ")</f>
        <v>0.21561655525529796</v>
      </c>
      <c r="K17" s="350">
        <f>IF(ISNUMBER((Tasas!E17-Datos!BG17)/Datos!BG17),(Tasas!E17-Datos!BG17)/Datos!BG17," - ")</f>
        <v>0.95329568795798125</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0.15331010452961671</v>
      </c>
      <c r="E18" s="347">
        <f>IF(ISNUMBER(
   IF(D_I="SI",(Datos!J18-Datos!T18)/Datos!T18,(Datos!J18+Datos!AD18-(Datos!T18+Datos!AL18))/(Datos!T18+Datos!AL18))
     ),IF(D_I="SI",(Datos!J18-Datos!T18)/Datos!T18,(Datos!J18+Datos!AD18-(Datos!T18+Datos!AL18))/(Datos!T18+Datos!AL18))," - ")</f>
        <v>1.6E-2</v>
      </c>
      <c r="F18" s="347">
        <f>IF(ISNUMBER(
   IF(D_I="SI",(Datos!K18-Datos!U18)/Datos!U18,(Datos!K18+Datos!AE18-(Datos!U18+Datos!AM18))/(Datos!U18+Datos!AM18))
     ),IF(D_I="SI",(Datos!K18-Datos!U18)/Datos!U18,(Datos!K18+Datos!AE18-(Datos!U18+Datos!AM18))/(Datos!U18+Datos!AM18))," - ")</f>
        <v>-1.9464720194647202E-2</v>
      </c>
      <c r="G18" s="348">
        <f>IF(ISNUMBER(
   IF(D_I="SI",(Datos!L18-Datos!V18)/Datos!V18,(Datos!L18+Datos!AF18-(Datos!V18+Datos!AN18))/(Datos!V18+Datos!AN18))
     ),IF(D_I="SI",(Datos!L18-Datos!V18)/Datos!V18,(Datos!L18+Datos!AF18-(Datos!V18+Datos!AN18))/(Datos!V18+Datos!AN18))," - ")</f>
        <v>-0.12011173184357542</v>
      </c>
      <c r="H18" s="229">
        <f>IF(ISNUMBER((Datos!M18-Datos!W18)/Datos!W18),(Datos!M18-Datos!W18)/Datos!W18," - ")</f>
        <v>0.66666666666666663</v>
      </c>
      <c r="I18" s="349">
        <f>IF(ISNUMBER((Tasas!C18-Datos!BE18)/Datos!BE18),(Tasas!C18-Datos!BE18)/Datos!BE18," - ")</f>
        <v>-0.10264496721516003</v>
      </c>
      <c r="J18" s="348">
        <f>IF(ISNUMBER((Tasas!D18-Datos!BF18)/Datos!BF18),(Tasas!D18-Datos!BF18)/Datos!BF18," - ")</f>
        <v>0.69975186104218379</v>
      </c>
      <c r="K18" s="350">
        <f>IF(ISNUMBER((Tasas!E18-Datos!BG18)/Datos!BG18),(Tasas!E18-Datos!BG18)/Datos!BG18," - ")</f>
        <v>9.6879146581904593E-2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0.16589147286821707</v>
      </c>
      <c r="E19" s="353">
        <f>IF(ISNUMBER(
   IF(D_I="SI",(Datos!J19-Datos!T19)/Datos!T19,(Datos!J19+Datos!AD19-(Datos!T19+Datos!AL19))/(Datos!T19+Datos!AL19))
     ),IF(D_I="SI",(Datos!J19-Datos!T19)/Datos!T19,(Datos!J19+Datos!AD19-(Datos!T19+Datos!AL19))/(Datos!T19+Datos!AL19))," - ")</f>
        <v>1.3757260776520942E-2</v>
      </c>
      <c r="F19" s="353">
        <f>IF(ISNUMBER(
   IF(D_I="SI",(Datos!K19-Datos!U19)/Datos!U19,(Datos!K19+Datos!AE19-(Datos!U19+Datos!AM19))/(Datos!U19+Datos!AM19))
     ),IF(D_I="SI",(Datos!K19-Datos!U19)/Datos!U19,(Datos!K19+Datos!AE19-(Datos!U19+Datos!AM19))/(Datos!U19+Datos!AM19))," - ")</f>
        <v>0.10950920245398774</v>
      </c>
      <c r="G19" s="354">
        <f>IF(ISNUMBER(
   IF(D_I="SI",(Datos!L19-Datos!V19)/Datos!V19,(Datos!L19+Datos!AF19-(Datos!V19+Datos!AN19))/(Datos!V19+Datos!AN19))
     ),IF(D_I="SI",(Datos!L19-Datos!V19)/Datos!V19,(Datos!L19+Datos!AF19-(Datos!V19+Datos!AN19))/(Datos!V19+Datos!AN19))," - ")</f>
        <v>6.3761955366631248E-2</v>
      </c>
      <c r="H19" s="355">
        <f>IF(ISNUMBER((Datos!M19-Datos!W19)/Datos!W19),(Datos!M19-Datos!W19)/Datos!W19," - ")</f>
        <v>9.2391304347826081E-2</v>
      </c>
      <c r="I19" s="356">
        <f>IF(ISNUMBER((Tasas!C19-Datos!BE19)/Datos!BE19),(Tasas!C19-Datos!BE19)/Datos!BE19," - ")</f>
        <v>-4.123196723936471E-2</v>
      </c>
      <c r="J19" s="354">
        <f>IF(ISNUMBER((Tasas!D19-Datos!BF19)/Datos!BF19),(Tasas!D19-Datos!BF19)/Datos!BF19," - ")</f>
        <v>-1.5428351624574819E-2</v>
      </c>
      <c r="K19" s="357">
        <f>IF(ISNUMBER((Tasas!E19-Datos!BG19)/Datos!BG19),(Tasas!E19-Datos!BG19)/Datos!BG19," - ")</f>
        <v>-6.7879503565839898E-3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2.7725118483412321E-2</v>
      </c>
      <c r="E20" s="362">
        <f>IF(ISNUMBER(
   IF(J_V="SI",(Datos!J20-Datos!T20)/Datos!T20,(Datos!J20+Datos!Z20-(Datos!T20+Datos!AH20))/(Datos!T20+Datos!AH20))
     ),IF(J_V="SI",(Datos!J20-Datos!T20)/Datos!T20,(Datos!J20+Datos!Z20-(Datos!T20+Datos!AH20))/(Datos!T20+Datos!AH20))," - ")</f>
        <v>0.21551120448179273</v>
      </c>
      <c r="F20" s="362">
        <f>IF(ISNUMBER(
   IF(J_V="SI",(Datos!K20-Datos!U20)/Datos!U20,(Datos!K20+Datos!AA20-(Datos!U20+Datos!AI20))/(Datos!U20+Datos!AI20))
     ),IF(J_V="SI",(Datos!K20-Datos!U20)/Datos!U20,(Datos!K20+Datos!AA20-(Datos!U20+Datos!AI20))/(Datos!U20+Datos!AI20))," - ")</f>
        <v>4.0871074640997318E-2</v>
      </c>
      <c r="G20" s="363">
        <f>IF(ISNUMBER(
   IF(J_V="SI",(Datos!L20-Datos!V20)/Datos!V20,(Datos!L20+Datos!AB20-(Datos!V20+Datos!AJ20))/(Datos!V20+Datos!AJ20))
     ),IF(J_V="SI",(Datos!L20-Datos!V20)/Datos!V20,(Datos!L20+Datos!AB20-(Datos!V20+Datos!AJ20))/(Datos!V20+Datos!AJ20))," - ")</f>
        <v>7.8073572120038723E-2</v>
      </c>
      <c r="H20" s="364">
        <f>IF(ISNUMBER((Datos!M20-Datos!W20)/Datos!W20),(Datos!M20-Datos!W20)/Datos!W20," - ")</f>
        <v>-0.14609053497942387</v>
      </c>
      <c r="I20" s="361">
        <f>IF(ISNUMBER((Tasas!C20-Datos!BE20)/Datos!BE20),(Tasas!C20-Datos!BE20)/Datos!BE20," - ")</f>
        <v>3.5741695955834707E-2</v>
      </c>
      <c r="J20" s="362">
        <f>IF(ISNUMBER((Tasas!D20-Datos!BF20)/Datos!BF20),(Tasas!D20-Datos!BF20)/Datos!BF20," - ")</f>
        <v>-0.62010050701321573</v>
      </c>
      <c r="K20" s="363">
        <f>IF(ISNUMBER((Tasas!E20-Datos!BG20)/Datos!BG20),(Tasas!E20-Datos!BG20)/Datos!BG20," - ")</f>
        <v>2.5805109575493843E-2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0.27991420769352737</v>
      </c>
      <c r="E22" s="277">
        <f t="shared" si="1"/>
        <v>0.51132478082184563</v>
      </c>
      <c r="F22" s="277">
        <f t="shared" si="1"/>
        <v>0.57741876930194991</v>
      </c>
      <c r="G22" s="278">
        <f t="shared" si="1"/>
        <v>0.25299909719674918</v>
      </c>
      <c r="H22" s="284">
        <f t="shared" si="1"/>
        <v>0.62602275236212257</v>
      </c>
      <c r="I22" s="276">
        <f t="shared" si="1"/>
        <v>0.68691231334838776</v>
      </c>
      <c r="J22" s="277">
        <f t="shared" si="1"/>
        <v>0.55747522160477303</v>
      </c>
      <c r="K22" s="278">
        <f t="shared" si="1"/>
        <v>0.41435033067453853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hxXd5YzY6wTVTaiO3YLvBDvgXxbSUviADV2KjMOfYMey9bWmpES1aTbX1MAc207Pm2gq0LBqJGvA4c1SKDAw==" saltValue="xF4G8+nD7gHBrE+zwRgKA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MADRID</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60.489889705882355</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149</v>
      </c>
      <c r="D10" s="224">
        <f>IF(ISNUMBER(Datos!I10),Datos!I10," - ")</f>
        <v>149</v>
      </c>
      <c r="E10" s="225">
        <f>IF(ISNUMBER(Datos!J10),Datos!J10," - ")</f>
        <v>65</v>
      </c>
      <c r="F10" s="225">
        <f>IF(ISNUMBER(Datos!K10),Datos!K10," - ")</f>
        <v>65</v>
      </c>
      <c r="G10" s="1029" t="str">
        <f>IF(Datos!E10&lt;&gt;"",Datos!E10,Datos!D10)</f>
        <v>37</v>
      </c>
      <c r="H10" s="226">
        <f>IF(ISNUMBER(Datos!L10),Datos!L10," - ")</f>
        <v>149</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25.215384615384615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76.80623306233062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149</v>
      </c>
      <c r="D13" s="1044">
        <f>SUBTOTAL(9,D9:D12)</f>
        <v>149</v>
      </c>
      <c r="E13" s="1045">
        <f>SUBTOTAL(9,E9:E12)</f>
        <v>65</v>
      </c>
      <c r="F13" s="1046">
        <f>SUBTOTAL(9,F9:F12)</f>
        <v>65</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4</v>
      </c>
      <c r="B15" s="501" t="str">
        <f>Datos!A15</f>
        <v xml:space="preserve">Seccion Instruccion Del T.I.                   </v>
      </c>
      <c r="C15" s="224">
        <f t="shared" ref="C15:C18" si="2">IF(ISNUMBER(H15-E15+F15),H15-E15+F15," - ")</f>
        <v>2453</v>
      </c>
      <c r="D15" s="224">
        <f>IF(ISNUMBER(IF(D_I="SI",Datos!I15,Datos!I15+Datos!AC15)),IF(D_I="SI",Datos!I15,Datos!I15+Datos!AC15)," - ")</f>
        <v>2437</v>
      </c>
      <c r="E15" s="225">
        <f>IF(ISNUMBER(IF(D_I="SI",Datos!J15,Datos!J15+Datos!AD15)),IF(D_I="SI",Datos!J15,Datos!J15+Datos!AD15)," - ")</f>
        <v>2730</v>
      </c>
      <c r="F15" s="225">
        <f>IF(ISNUMBER(IF(D_I="SI",Datos!K15,Datos!K15+Datos!AE15)),IF(D_I="SI",Datos!K15,Datos!K15+Datos!AE15)," - ")</f>
        <v>2661</v>
      </c>
      <c r="G15" s="1029" t="str">
        <f>IF(Datos!E15&lt;&gt;"",Datos!E15,Datos!D15)</f>
        <v>03</v>
      </c>
      <c r="H15" s="226">
        <f>IF(ISNUMBER(IF(D_I="SI",Datos!L15,Datos!L15+Datos!AF15)),IF(D_I="SI",Datos!L15,Datos!L15+Datos!AF15)," - ")</f>
        <v>2522</v>
      </c>
      <c r="I15" s="1039" t="str">
        <f>IF(ISNUMBER(Datos!AS15/Datos!BM15),Datos!AS15/Datos!BM15," - ")</f>
        <v xml:space="preserve"> - </v>
      </c>
      <c r="J15" s="1040">
        <f>IF(ISNUMBER(Datos!BY15/Datos!CN15),Datos!BY15/Datos!CN15," - ")</f>
        <v>0</v>
      </c>
      <c r="K15" s="229">
        <f t="shared" ref="K15:K18" si="3">IF(ISNUMBER((E15-F15)/C15),(E15-F15)/C15," - ")</f>
        <v>2.8128821850794947E-2</v>
      </c>
      <c r="L15" s="1020">
        <f>IF(ISNUMBER(NºAsuntos!I15/NºAsuntos!G15),(NºAsuntos!I15/NºAsuntos!G15)*11," - ")</f>
        <v>10.425403983464863</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f t="shared" si="2"/>
        <v>2516</v>
      </c>
      <c r="D17" s="224">
        <f>IF(ISNUMBER(IF(D_I="SI",Datos!I17,Datos!I17+Datos!AC17)),IF(D_I="SI",Datos!I17,Datos!I17+Datos!AC17)," - ")</f>
        <v>2496</v>
      </c>
      <c r="E17" s="225">
        <f>IF(ISNUMBER(IF(D_I="SI",Datos!J17,Datos!J17+Datos!AD17)),IF(D_I="SI",Datos!J17,Datos!J17+Datos!AD17)," - ")</f>
        <v>205</v>
      </c>
      <c r="F17" s="225">
        <f>IF(ISNUMBER(IF(D_I="SI",Datos!K17,Datos!K17+Datos!AE17)),IF(D_I="SI",Datos!K17,Datos!K17+Datos!AE17)," - ")</f>
        <v>553</v>
      </c>
      <c r="G17" s="1029" t="str">
        <f>IF(Datos!E17&lt;&gt;"",Datos!E17,Datos!D17)</f>
        <v>04</v>
      </c>
      <c r="H17" s="226">
        <f>IF(ISNUMBER(IF(D_I="SI",Datos!L17,Datos!L17+Datos!AF17)),IF(D_I="SI",Datos!L17,Datos!L17+Datos!AF17)," - ")</f>
        <v>2168</v>
      </c>
      <c r="I17" s="1039" t="str">
        <f>IF(ISNUMBER(Datos!AS17/Datos!BM17),Datos!AS17/Datos!BM17," - ")</f>
        <v xml:space="preserve"> - </v>
      </c>
      <c r="J17" s="1040">
        <f>IF(ISNUMBER(Datos!BY17/Datos!CN17),Datos!BY17/Datos!CN17," - ")</f>
        <v>0</v>
      </c>
      <c r="K17" s="229">
        <f t="shared" si="3"/>
        <v>-0.13831478537360889</v>
      </c>
      <c r="L17" s="1020">
        <f>IF(ISNUMBER(NºAsuntos!I17/NºAsuntos!G17),(NºAsuntos!I17/NºAsuntos!G17)*11," - ")</f>
        <v>43.124773960216999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337</v>
      </c>
      <c r="D18" s="224">
        <f>IF(ISNUMBER(IF(D_I="SI",Datos!I18,Datos!I18+Datos!AC18)),IF(D_I="SI",Datos!I18,Datos!I18+Datos!AC18)," - ")</f>
        <v>331</v>
      </c>
      <c r="E18" s="225">
        <f>IF(ISNUMBER(IF(D_I="SI",Datos!J18,Datos!J18+Datos!AD18)),IF(D_I="SI",Datos!J18,Datos!J18+Datos!AD18)," - ")</f>
        <v>381</v>
      </c>
      <c r="F18" s="225">
        <f>IF(ISNUMBER(IF(D_I="SI",Datos!K18,Datos!K18+Datos!AE18)),IF(D_I="SI",Datos!K18,Datos!K18+Datos!AE18)," - ")</f>
        <v>403</v>
      </c>
      <c r="G18" s="1029" t="str">
        <f>IF(Datos!E18&lt;&gt;"",Datos!E18,Datos!D18)</f>
        <v>37</v>
      </c>
      <c r="H18" s="226">
        <f>IF(ISNUMBER(IF(D_I="SI",Datos!L18,Datos!L18+Datos!AF18)),IF(D_I="SI",Datos!L18,Datos!L18+Datos!AF18)," - ")</f>
        <v>315</v>
      </c>
      <c r="I18" s="1039" t="str">
        <f>IF(ISNUMBER(Datos!AS18/Datos!BM18),Datos!AS18/Datos!BM18," - ")</f>
        <v xml:space="preserve"> - </v>
      </c>
      <c r="J18" s="1040" t="str">
        <f>IF(ISNUMBER((Datos!BY18+Datos!BZ18)/Datos!CN18),(Datos!BY18+Datos!BZ18)/Datos!CN18," - ")</f>
        <v xml:space="preserve"> - </v>
      </c>
      <c r="K18" s="229">
        <f t="shared" si="3"/>
        <v>-6.5281899109792291E-2</v>
      </c>
      <c r="L18" s="1020">
        <f>IF(ISNUMBER(NºAsuntos!I18/NºAsuntos!G18),(NºAsuntos!I18/NºAsuntos!G18)*11," - ")</f>
        <v>8.5980148883374703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5306</v>
      </c>
      <c r="D19" s="1044">
        <f>SUBTOTAL(9,D15:D18)</f>
        <v>5264</v>
      </c>
      <c r="E19" s="1045">
        <f>SUBTOTAL(9,E15:E18)</f>
        <v>3316</v>
      </c>
      <c r="F19" s="1045">
        <f>SUBTOTAL(9,F15:F18)</f>
        <v>3617</v>
      </c>
      <c r="G19" s="1047" t="str">
        <f ca="1">INDIRECT(CONCATENATE("G",ROW()-1))</f>
        <v>37</v>
      </c>
      <c r="H19" s="1048">
        <f ca="1">SUMIF(G$14:G18,G19,H$14:H18)</f>
        <v>315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5455</v>
      </c>
      <c r="D20" s="1066">
        <f>SUBTOTAL(9,D9:D19)</f>
        <v>5413</v>
      </c>
      <c r="E20" s="1067">
        <f>SUBTOTAL(9,E9:E19)</f>
        <v>3381</v>
      </c>
      <c r="F20" s="1067">
        <f>SUBTOTAL(9,F9:F19)</f>
        <v>3682</v>
      </c>
      <c r="G20" s="1068"/>
      <c r="H20" s="1069">
        <f ca="1">SUMIF(B9:B19,"TOTAL",H9:H19)</f>
        <v>315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UBUgbuzqVs42ompRAP+fD0ClKvl06CUFfnaowNyti8Ksp6Cce0GzD68o9BuCxFib0H7jUcnkwRCcmqTsLGvA==" saltValue="E4tekZY2me9GtxHtZuDum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g0smAHAun79IHdoDnKHn8kfbM0C2JIKFnLohb2VZQDD4gLazzP+ntX/b2yF3RYNKA+28j+nh9aadH/Y1W9vJhg==" saltValue="v2/rQwHcgwlULMJ3Aw4xH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10807</v>
      </c>
      <c r="J9" s="180">
        <v>2874</v>
      </c>
      <c r="K9" s="180">
        <v>1938</v>
      </c>
      <c r="L9" s="180">
        <v>11743</v>
      </c>
      <c r="M9" s="180">
        <v>292</v>
      </c>
      <c r="N9" s="180">
        <v>961</v>
      </c>
      <c r="O9" s="180">
        <v>427</v>
      </c>
      <c r="P9" s="180">
        <v>161</v>
      </c>
      <c r="Q9" s="180">
        <v>172</v>
      </c>
      <c r="R9" s="180">
        <v>6605</v>
      </c>
      <c r="S9" s="180">
        <v>0</v>
      </c>
      <c r="T9" s="180">
        <v>0</v>
      </c>
      <c r="U9" s="180">
        <v>0</v>
      </c>
      <c r="V9" s="180">
        <v>0</v>
      </c>
      <c r="W9" s="180">
        <v>0</v>
      </c>
      <c r="X9" s="187">
        <v>0</v>
      </c>
      <c r="Y9" s="190">
        <v>192</v>
      </c>
      <c r="Z9" s="180">
        <v>269</v>
      </c>
      <c r="AA9" s="180">
        <v>238</v>
      </c>
      <c r="AB9" s="180">
        <v>223</v>
      </c>
      <c r="AC9" s="180">
        <v>0</v>
      </c>
      <c r="AD9" s="180">
        <v>0</v>
      </c>
      <c r="AE9" s="180">
        <v>0</v>
      </c>
      <c r="AF9" s="187">
        <v>0</v>
      </c>
      <c r="AG9" s="190">
        <v>0</v>
      </c>
      <c r="AH9" s="180">
        <v>0</v>
      </c>
      <c r="AI9" s="180">
        <v>0</v>
      </c>
      <c r="AJ9" s="191">
        <v>0</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f>IF(ISNUMBER(X9),X9," - ")</f>
        <v>0</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149</v>
      </c>
      <c r="J10" s="180">
        <v>65</v>
      </c>
      <c r="K10" s="180">
        <v>65</v>
      </c>
      <c r="L10" s="180">
        <v>149</v>
      </c>
      <c r="M10" s="180">
        <v>21</v>
      </c>
      <c r="N10" s="180">
        <v>26</v>
      </c>
      <c r="O10" s="180">
        <v>14</v>
      </c>
      <c r="P10" s="180">
        <v>19</v>
      </c>
      <c r="Q10" s="180">
        <v>9</v>
      </c>
      <c r="R10" s="180">
        <v>78</v>
      </c>
      <c r="S10" s="180">
        <v>132</v>
      </c>
      <c r="T10" s="180">
        <v>54</v>
      </c>
      <c r="U10" s="180">
        <v>41</v>
      </c>
      <c r="V10" s="180">
        <v>149</v>
      </c>
      <c r="W10" s="180">
        <v>14</v>
      </c>
      <c r="X10" s="187">
        <v>5</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132</v>
      </c>
      <c r="AZ10" s="129">
        <f t="shared" si="0"/>
        <v>54</v>
      </c>
      <c r="BA10" s="129">
        <f t="shared" si="0"/>
        <v>41</v>
      </c>
      <c r="BB10" s="129">
        <f t="shared" si="0"/>
        <v>149</v>
      </c>
      <c r="BC10" s="125">
        <f t="shared" si="0"/>
        <v>14</v>
      </c>
      <c r="BD10" s="126">
        <f>IF(ISNUMBER(BA10/AZ10),BA10/AZ10," - ")</f>
        <v>0.7592592592592593</v>
      </c>
      <c r="BE10" s="127">
        <f>IF(ISNUMBER(BB10/BA10),BB10/BA10, " - ")</f>
        <v>3.6341463414634148</v>
      </c>
      <c r="BF10" s="127">
        <f>IF(ISNUMBER(BC10/BA10),BC10/BA10, " - ")</f>
        <v>0.34146341463414637</v>
      </c>
      <c r="BG10" s="195">
        <f>IF(ISNUMBER((AY10+AZ10)/BA10),(AY10+AZ10)/BA10," - ")</f>
        <v>4.5365853658536581</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5167</v>
      </c>
      <c r="J12" s="182">
        <v>367</v>
      </c>
      <c r="K12" s="182">
        <v>679</v>
      </c>
      <c r="L12" s="182">
        <v>5054</v>
      </c>
      <c r="M12" s="182">
        <v>115</v>
      </c>
      <c r="N12" s="182">
        <v>259</v>
      </c>
      <c r="O12" s="180">
        <v>274</v>
      </c>
      <c r="P12" s="182">
        <v>133</v>
      </c>
      <c r="Q12" s="182">
        <v>92</v>
      </c>
      <c r="R12" s="182">
        <v>4531</v>
      </c>
      <c r="S12" s="182">
        <v>16190</v>
      </c>
      <c r="T12" s="182">
        <v>2105</v>
      </c>
      <c r="U12" s="182">
        <v>2812</v>
      </c>
      <c r="V12" s="182">
        <v>15485</v>
      </c>
      <c r="W12" s="182">
        <v>590</v>
      </c>
      <c r="X12" s="188">
        <v>1717</v>
      </c>
      <c r="Y12" s="190">
        <v>106</v>
      </c>
      <c r="Z12" s="180">
        <v>52</v>
      </c>
      <c r="AA12" s="180">
        <v>59</v>
      </c>
      <c r="AB12" s="180">
        <v>99</v>
      </c>
      <c r="AC12" s="182">
        <v>0</v>
      </c>
      <c r="AD12" s="182">
        <v>0</v>
      </c>
      <c r="AE12" s="182">
        <v>0</v>
      </c>
      <c r="AF12" s="188">
        <v>0</v>
      </c>
      <c r="AG12" s="201">
        <v>263</v>
      </c>
      <c r="AH12" s="182">
        <v>282</v>
      </c>
      <c r="AI12" s="182">
        <v>224</v>
      </c>
      <c r="AJ12" s="202">
        <v>321</v>
      </c>
      <c r="AK12" s="181">
        <v>0</v>
      </c>
      <c r="AL12" s="182">
        <v>0</v>
      </c>
      <c r="AM12" s="182">
        <v>0</v>
      </c>
      <c r="AN12" s="188">
        <v>0</v>
      </c>
      <c r="AO12" s="258">
        <v>0</v>
      </c>
      <c r="AP12" s="154">
        <v>0</v>
      </c>
      <c r="AQ12" s="154">
        <v>0</v>
      </c>
      <c r="AR12" s="153">
        <v>0</v>
      </c>
      <c r="AS12" s="339" t="s">
        <v>766</v>
      </c>
      <c r="AT12" s="202"/>
      <c r="AU12" s="201"/>
      <c r="AV12" s="202"/>
      <c r="AW12" s="201"/>
      <c r="AX12" s="202"/>
      <c r="AY12" s="126">
        <f t="shared" si="1"/>
        <v>16453</v>
      </c>
      <c r="AZ12" s="127">
        <f t="shared" si="1"/>
        <v>2387</v>
      </c>
      <c r="BA12" s="127">
        <f t="shared" si="1"/>
        <v>3036</v>
      </c>
      <c r="BB12" s="127">
        <f t="shared" si="1"/>
        <v>15806</v>
      </c>
      <c r="BC12" s="125">
        <f>IF(ISNUMBER(X12),X12," - ")</f>
        <v>1717</v>
      </c>
      <c r="BD12" s="126">
        <f t="shared" si="2"/>
        <v>1.271889400921659</v>
      </c>
      <c r="BE12" s="127">
        <f t="shared" si="3"/>
        <v>5.2061923583662715</v>
      </c>
      <c r="BF12" s="127">
        <f t="shared" si="4"/>
        <v>0.56554677206851123</v>
      </c>
      <c r="BG12" s="195">
        <f t="shared" si="5"/>
        <v>6.2055335968379444</v>
      </c>
      <c r="BH12" s="154">
        <v>10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16123</v>
      </c>
      <c r="J13" s="183">
        <f t="shared" si="6"/>
        <v>3306</v>
      </c>
      <c r="K13" s="183">
        <f t="shared" si="6"/>
        <v>2682</v>
      </c>
      <c r="L13" s="183">
        <f t="shared" si="6"/>
        <v>16946</v>
      </c>
      <c r="M13" s="183">
        <f t="shared" si="6"/>
        <v>428</v>
      </c>
      <c r="N13" s="183">
        <f t="shared" si="6"/>
        <v>1246</v>
      </c>
      <c r="O13" s="183">
        <f t="shared" si="6"/>
        <v>715</v>
      </c>
      <c r="P13" s="183">
        <f t="shared" si="6"/>
        <v>313</v>
      </c>
      <c r="Q13" s="183">
        <f t="shared" si="6"/>
        <v>273</v>
      </c>
      <c r="R13" s="183">
        <f t="shared" si="6"/>
        <v>11214</v>
      </c>
      <c r="S13" s="183">
        <f t="shared" si="6"/>
        <v>16322</v>
      </c>
      <c r="T13" s="183">
        <f t="shared" si="6"/>
        <v>2159</v>
      </c>
      <c r="U13" s="183">
        <f t="shared" si="6"/>
        <v>2853</v>
      </c>
      <c r="V13" s="183">
        <f t="shared" si="6"/>
        <v>15634</v>
      </c>
      <c r="W13" s="183">
        <f t="shared" si="6"/>
        <v>604</v>
      </c>
      <c r="X13" s="183">
        <f t="shared" si="6"/>
        <v>1722</v>
      </c>
      <c r="Y13" s="183">
        <f t="shared" si="6"/>
        <v>298</v>
      </c>
      <c r="Z13" s="183">
        <f t="shared" si="6"/>
        <v>321</v>
      </c>
      <c r="AA13" s="183">
        <f t="shared" si="6"/>
        <v>297</v>
      </c>
      <c r="AB13" s="183">
        <f t="shared" si="6"/>
        <v>322</v>
      </c>
      <c r="AC13" s="183">
        <f t="shared" si="6"/>
        <v>0</v>
      </c>
      <c r="AD13" s="183">
        <f t="shared" si="6"/>
        <v>0</v>
      </c>
      <c r="AE13" s="183">
        <f t="shared" si="6"/>
        <v>0</v>
      </c>
      <c r="AF13" s="183">
        <f>SUBTOTAL(9,AF9:AF12)</f>
        <v>0</v>
      </c>
      <c r="AG13" s="183">
        <f t="shared" ref="AG13:AT13" si="7">SUBTOTAL(9,AG8:AG12)</f>
        <v>263</v>
      </c>
      <c r="AH13" s="183">
        <f t="shared" si="7"/>
        <v>282</v>
      </c>
      <c r="AI13" s="183">
        <f t="shared" si="7"/>
        <v>224</v>
      </c>
      <c r="AJ13" s="183">
        <f t="shared" si="7"/>
        <v>321</v>
      </c>
      <c r="AK13" s="183">
        <f t="shared" si="7"/>
        <v>0</v>
      </c>
      <c r="AL13" s="183">
        <f t="shared" si="7"/>
        <v>0</v>
      </c>
      <c r="AM13" s="183">
        <f t="shared" si="7"/>
        <v>0</v>
      </c>
      <c r="AN13" s="183">
        <f t="shared" si="7"/>
        <v>0</v>
      </c>
      <c r="AO13" s="183">
        <f t="shared" si="7"/>
        <v>8</v>
      </c>
      <c r="AP13" s="183">
        <f t="shared" si="7"/>
        <v>8</v>
      </c>
      <c r="AQ13" s="183">
        <f t="shared" si="7"/>
        <v>8</v>
      </c>
      <c r="AR13" s="183">
        <f t="shared" si="7"/>
        <v>8</v>
      </c>
      <c r="AS13" s="183">
        <f t="shared" si="7"/>
        <v>0</v>
      </c>
      <c r="AT13" s="183">
        <f t="shared" si="7"/>
        <v>0</v>
      </c>
      <c r="AU13" s="203"/>
      <c r="AV13" s="132"/>
      <c r="AW13" s="203"/>
      <c r="AX13" s="132"/>
      <c r="AY13" s="183">
        <f>SUBTOTAL(9,AY8:AY12)</f>
        <v>16585</v>
      </c>
      <c r="AZ13" s="183">
        <f>SUBTOTAL(9,AZ8:AZ12)</f>
        <v>2441</v>
      </c>
      <c r="BA13" s="183">
        <f>SUBTOTAL(9,BA8:BA12)</f>
        <v>3077</v>
      </c>
      <c r="BB13" s="183">
        <f>SUBTOTAL(9,BB8:BB12)</f>
        <v>15955</v>
      </c>
      <c r="BC13" s="183">
        <f>SUBTOTAL(9,BC8:BC12)</f>
        <v>1731</v>
      </c>
      <c r="BD13" s="204">
        <f>IF(ISNUMBER(BA13/AZ13),BA13/AZ13," - ")</f>
        <v>1.2605489553461695</v>
      </c>
      <c r="BE13" s="205">
        <f>IF(ISNUMBER(BB13/BA13),BB13/BA13, " - ")</f>
        <v>5.185245368865778</v>
      </c>
      <c r="BF13" s="205">
        <f>IF(ISNUMBER(BC13/BA13),BC13/BA13, " - ")</f>
        <v>0.56256093597660062</v>
      </c>
      <c r="BG13" s="206">
        <f>IF(ISNUMBER((AY13+AZ13)/BA13),(AY13+AZ13)/BA13," - ")</f>
        <v>6.18329541761456</v>
      </c>
      <c r="BH13" s="139">
        <f>SUBTOTAL(9,BH8:BH12)</f>
        <v>11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2437</v>
      </c>
      <c r="J15" s="182">
        <v>2730</v>
      </c>
      <c r="K15" s="182">
        <v>2661</v>
      </c>
      <c r="L15" s="182">
        <v>2522</v>
      </c>
      <c r="M15" s="182">
        <v>298</v>
      </c>
      <c r="N15" s="182">
        <v>1858</v>
      </c>
      <c r="O15" s="180">
        <v>40</v>
      </c>
      <c r="P15" s="182">
        <v>58</v>
      </c>
      <c r="Q15" s="182">
        <v>85</v>
      </c>
      <c r="R15" s="182">
        <v>211</v>
      </c>
      <c r="S15" s="182">
        <v>0</v>
      </c>
      <c r="T15" s="182">
        <v>0</v>
      </c>
      <c r="U15" s="182">
        <v>0</v>
      </c>
      <c r="V15" s="182">
        <v>0</v>
      </c>
      <c r="W15" s="182">
        <v>0</v>
      </c>
      <c r="X15" s="188">
        <v>0</v>
      </c>
      <c r="Y15" s="201">
        <v>0</v>
      </c>
      <c r="Z15" s="182">
        <v>0</v>
      </c>
      <c r="AA15" s="182">
        <v>0</v>
      </c>
      <c r="AB15" s="182">
        <v>0</v>
      </c>
      <c r="AC15" s="182">
        <v>0</v>
      </c>
      <c r="AD15" s="182">
        <v>19</v>
      </c>
      <c r="AE15" s="182">
        <v>19</v>
      </c>
      <c r="AF15" s="188">
        <v>0</v>
      </c>
      <c r="AG15" s="201">
        <v>0</v>
      </c>
      <c r="AH15" s="182">
        <v>0</v>
      </c>
      <c r="AI15" s="182">
        <v>0</v>
      </c>
      <c r="AJ15" s="202">
        <v>0</v>
      </c>
      <c r="AK15" s="181">
        <v>0</v>
      </c>
      <c r="AL15" s="182">
        <v>0</v>
      </c>
      <c r="AM15" s="182">
        <v>0</v>
      </c>
      <c r="AN15" s="188">
        <v>0</v>
      </c>
      <c r="AO15" s="258">
        <v>4</v>
      </c>
      <c r="AP15" s="154">
        <v>4</v>
      </c>
      <c r="AQ15" s="154">
        <v>4</v>
      </c>
      <c r="AR15" s="154">
        <v>4</v>
      </c>
      <c r="AS15" s="339" t="s">
        <v>520</v>
      </c>
      <c r="AT15" s="202" t="s">
        <v>327</v>
      </c>
      <c r="AU15" s="201"/>
      <c r="AV15" s="202"/>
      <c r="AW15" s="201"/>
      <c r="AX15" s="202"/>
      <c r="AY15" s="128">
        <f t="shared" ref="AY15:BB17" si="9">IF(ISNUMBER(IF(D_I="SI",S15,S15+AK15)),IF(D_I="SI",S15,S15+AK15)," - ")</f>
        <v>0</v>
      </c>
      <c r="AZ15" s="129">
        <f t="shared" si="9"/>
        <v>0</v>
      </c>
      <c r="BA15" s="129">
        <f t="shared" si="9"/>
        <v>0</v>
      </c>
      <c r="BB15" s="129">
        <f t="shared" si="9"/>
        <v>0</v>
      </c>
      <c r="BC15" s="125">
        <f>IF(ISNUMBER(W15),W15," - ")</f>
        <v>0</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2496</v>
      </c>
      <c r="J17" s="182">
        <v>205</v>
      </c>
      <c r="K17" s="182">
        <v>553</v>
      </c>
      <c r="L17" s="182">
        <v>2168</v>
      </c>
      <c r="M17" s="182">
        <v>84</v>
      </c>
      <c r="N17" s="182">
        <v>280</v>
      </c>
      <c r="O17" s="180">
        <v>23</v>
      </c>
      <c r="P17" s="182">
        <v>79</v>
      </c>
      <c r="Q17" s="182">
        <v>94</v>
      </c>
      <c r="R17" s="182">
        <v>300</v>
      </c>
      <c r="S17" s="182">
        <v>4228</v>
      </c>
      <c r="T17" s="182">
        <v>2896</v>
      </c>
      <c r="U17" s="182">
        <v>2849</v>
      </c>
      <c r="V17" s="182">
        <v>4347</v>
      </c>
      <c r="W17" s="182">
        <v>356</v>
      </c>
      <c r="X17" s="188">
        <v>1883</v>
      </c>
      <c r="Y17" s="201">
        <v>0</v>
      </c>
      <c r="Z17" s="182">
        <v>0</v>
      </c>
      <c r="AA17" s="182">
        <v>0</v>
      </c>
      <c r="AB17" s="182">
        <v>0</v>
      </c>
      <c r="AC17" s="182">
        <v>0</v>
      </c>
      <c r="AD17" s="182">
        <v>0</v>
      </c>
      <c r="AE17" s="182">
        <v>0</v>
      </c>
      <c r="AF17" s="188">
        <v>0</v>
      </c>
      <c r="AG17" s="201">
        <v>0</v>
      </c>
      <c r="AH17" s="182">
        <v>0</v>
      </c>
      <c r="AI17" s="182">
        <v>0</v>
      </c>
      <c r="AJ17" s="202">
        <v>0</v>
      </c>
      <c r="AK17" s="181">
        <v>11</v>
      </c>
      <c r="AL17" s="182">
        <v>61</v>
      </c>
      <c r="AM17" s="182">
        <v>64</v>
      </c>
      <c r="AN17" s="188">
        <v>8</v>
      </c>
      <c r="AO17" s="258">
        <v>0</v>
      </c>
      <c r="AP17" s="154">
        <v>0</v>
      </c>
      <c r="AQ17" s="154">
        <v>0</v>
      </c>
      <c r="AR17" s="154">
        <v>0</v>
      </c>
      <c r="AS17" s="339" t="s">
        <v>486</v>
      </c>
      <c r="AT17" s="202"/>
      <c r="AU17" s="201"/>
      <c r="AV17" s="202"/>
      <c r="AW17" s="201"/>
      <c r="AX17" s="202"/>
      <c r="AY17" s="126">
        <f t="shared" si="9"/>
        <v>4228</v>
      </c>
      <c r="AZ17" s="127">
        <f t="shared" si="9"/>
        <v>2896</v>
      </c>
      <c r="BA17" s="127">
        <f t="shared" si="9"/>
        <v>2849</v>
      </c>
      <c r="BB17" s="127">
        <f t="shared" si="9"/>
        <v>4347</v>
      </c>
      <c r="BC17" s="125">
        <f>IF(ISNUMBER(W17),W17," - ")</f>
        <v>356</v>
      </c>
      <c r="BD17" s="126">
        <f t="shared" ref="BD17" si="16">IF(ISNUMBER(BA17/AZ17),BA17/AZ17," - ")</f>
        <v>0.98377071823204421</v>
      </c>
      <c r="BE17" s="127">
        <f t="shared" ref="BE17" si="17">IF(ISNUMBER(BB17/BA17),BB17/BA17, " - ")</f>
        <v>1.5257985257985258</v>
      </c>
      <c r="BF17" s="127">
        <f t="shared" ref="BF17" si="18">IF(ISNUMBER(BC17/BA17),BC17/BA17, " - ")</f>
        <v>0.12495612495612496</v>
      </c>
      <c r="BG17" s="195">
        <f t="shared" si="10"/>
        <v>2.5005265005265005</v>
      </c>
      <c r="BH17" s="154">
        <v>10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331</v>
      </c>
      <c r="J18" s="182">
        <v>381</v>
      </c>
      <c r="K18" s="182">
        <v>403</v>
      </c>
      <c r="L18" s="182">
        <v>315</v>
      </c>
      <c r="M18" s="182">
        <v>20</v>
      </c>
      <c r="N18" s="182">
        <v>265</v>
      </c>
      <c r="O18" s="182">
        <v>2</v>
      </c>
      <c r="P18" s="182">
        <v>4</v>
      </c>
      <c r="Q18" s="182">
        <v>8</v>
      </c>
      <c r="R18" s="182">
        <v>6</v>
      </c>
      <c r="S18" s="182">
        <v>287</v>
      </c>
      <c r="T18" s="182">
        <v>375</v>
      </c>
      <c r="U18" s="182">
        <v>411</v>
      </c>
      <c r="V18" s="182">
        <v>358</v>
      </c>
      <c r="W18" s="182">
        <v>12</v>
      </c>
      <c r="X18" s="188">
        <v>224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287</v>
      </c>
      <c r="AZ18" s="129">
        <f t="shared" si="19"/>
        <v>375</v>
      </c>
      <c r="BA18" s="129">
        <f t="shared" si="19"/>
        <v>411</v>
      </c>
      <c r="BB18" s="129">
        <f t="shared" si="19"/>
        <v>358</v>
      </c>
      <c r="BC18" s="125">
        <f>IF(ISNUMBER(W18),W18," - ")</f>
        <v>12</v>
      </c>
      <c r="BD18" s="126">
        <f>IF(ISNUMBER(BA18/AZ18),BA18/AZ18," - ")</f>
        <v>1.0960000000000001</v>
      </c>
      <c r="BE18" s="127">
        <f>IF(ISNUMBER(BB18/BA18),BB18/BA18, " - ")</f>
        <v>0.87104622871046233</v>
      </c>
      <c r="BF18" s="127">
        <f>IF(ISNUMBER(BC18/BA18),BC18/BA18, " - ")</f>
        <v>2.9197080291970802E-2</v>
      </c>
      <c r="BG18" s="195">
        <f>IF(ISNUMBER((AY18+AZ18)/BA18),(AY18+AZ18)/BA18," - ")</f>
        <v>1.610705596107056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5264</v>
      </c>
      <c r="J19" s="183">
        <f t="shared" si="20"/>
        <v>3316</v>
      </c>
      <c r="K19" s="183">
        <f t="shared" si="20"/>
        <v>3617</v>
      </c>
      <c r="L19" s="183">
        <f t="shared" si="20"/>
        <v>5005</v>
      </c>
      <c r="M19" s="183">
        <f t="shared" si="20"/>
        <v>402</v>
      </c>
      <c r="N19" s="183">
        <f t="shared" si="20"/>
        <v>2403</v>
      </c>
      <c r="O19" s="183">
        <f t="shared" si="20"/>
        <v>65</v>
      </c>
      <c r="P19" s="183">
        <f t="shared" si="20"/>
        <v>141</v>
      </c>
      <c r="Q19" s="183">
        <f t="shared" si="20"/>
        <v>187</v>
      </c>
      <c r="R19" s="183">
        <f t="shared" si="20"/>
        <v>517</v>
      </c>
      <c r="S19" s="183">
        <f t="shared" si="20"/>
        <v>4515</v>
      </c>
      <c r="T19" s="183">
        <f t="shared" si="20"/>
        <v>3271</v>
      </c>
      <c r="U19" s="183">
        <f t="shared" si="20"/>
        <v>3260</v>
      </c>
      <c r="V19" s="183">
        <f t="shared" si="20"/>
        <v>4705</v>
      </c>
      <c r="W19" s="183">
        <f t="shared" si="20"/>
        <v>368</v>
      </c>
      <c r="X19" s="183">
        <f t="shared" si="20"/>
        <v>2107</v>
      </c>
      <c r="Y19" s="183">
        <f t="shared" si="20"/>
        <v>0</v>
      </c>
      <c r="Z19" s="183">
        <f t="shared" si="20"/>
        <v>0</v>
      </c>
      <c r="AA19" s="183">
        <f t="shared" si="20"/>
        <v>0</v>
      </c>
      <c r="AB19" s="183">
        <f t="shared" si="20"/>
        <v>0</v>
      </c>
      <c r="AC19" s="183">
        <f t="shared" si="20"/>
        <v>0</v>
      </c>
      <c r="AD19" s="183">
        <f t="shared" si="20"/>
        <v>19</v>
      </c>
      <c r="AE19" s="183">
        <f t="shared" si="20"/>
        <v>19</v>
      </c>
      <c r="AF19" s="183">
        <f t="shared" si="20"/>
        <v>0</v>
      </c>
      <c r="AG19" s="183">
        <f t="shared" si="20"/>
        <v>0</v>
      </c>
      <c r="AH19" s="183">
        <f t="shared" si="20"/>
        <v>0</v>
      </c>
      <c r="AI19" s="183">
        <f t="shared" si="20"/>
        <v>0</v>
      </c>
      <c r="AJ19" s="183">
        <f t="shared" si="20"/>
        <v>0</v>
      </c>
      <c r="AK19" s="183">
        <f t="shared" si="20"/>
        <v>11</v>
      </c>
      <c r="AL19" s="183">
        <f t="shared" si="20"/>
        <v>61</v>
      </c>
      <c r="AM19" s="183">
        <f t="shared" si="20"/>
        <v>64</v>
      </c>
      <c r="AN19" s="183">
        <f t="shared" si="20"/>
        <v>8</v>
      </c>
      <c r="AO19" s="183">
        <f t="shared" si="20"/>
        <v>6</v>
      </c>
      <c r="AP19" s="183">
        <f t="shared" si="20"/>
        <v>6</v>
      </c>
      <c r="AQ19" s="183">
        <f t="shared" si="20"/>
        <v>6</v>
      </c>
      <c r="AR19" s="183">
        <f t="shared" si="20"/>
        <v>6</v>
      </c>
      <c r="AS19" s="183">
        <f t="shared" si="20"/>
        <v>0</v>
      </c>
      <c r="AT19" s="183">
        <f t="shared" si="20"/>
        <v>0</v>
      </c>
      <c r="AU19" s="203"/>
      <c r="AV19" s="132"/>
      <c r="AW19" s="203"/>
      <c r="AX19" s="132"/>
      <c r="AY19" s="183">
        <f>SUBTOTAL(9,AY14:AY18)</f>
        <v>4515</v>
      </c>
      <c r="AZ19" s="183">
        <f>SUBTOTAL(9,AZ14:AZ18)</f>
        <v>3271</v>
      </c>
      <c r="BA19" s="183">
        <f>SUBTOTAL(9,BA14:BA18)</f>
        <v>3260</v>
      </c>
      <c r="BB19" s="183">
        <f>SUBTOTAL(9,BB14:BB18)</f>
        <v>4705</v>
      </c>
      <c r="BC19" s="183">
        <f>SUBTOTAL(9,BC14:BC18)</f>
        <v>368</v>
      </c>
      <c r="BD19" s="204">
        <f>IF(ISNUMBER(BA19/AZ19),BA19/AZ19," - ")</f>
        <v>0.99663711403240596</v>
      </c>
      <c r="BE19" s="205">
        <f>IF(ISNUMBER(BB19/BA19),BB19/BA19, " - ")</f>
        <v>1.4432515337423313</v>
      </c>
      <c r="BF19" s="205">
        <f>IF(ISNUMBER(BC19/BA19),BC19/BA19, " - ")</f>
        <v>0.11288343558282209</v>
      </c>
      <c r="BG19" s="206">
        <f>IF(ISNUMBER((AY19+AZ19)/BA19),(AY19+AZ19)/BA19," - ")</f>
        <v>2.3883435582822088</v>
      </c>
      <c r="BH19" s="183">
        <f>SUBTOTAL(9,BH14:BH18)</f>
        <v>11</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21387</v>
      </c>
      <c r="J20" s="134">
        <f t="shared" si="23"/>
        <v>6622</v>
      </c>
      <c r="K20" s="134">
        <f t="shared" si="23"/>
        <v>6299</v>
      </c>
      <c r="L20" s="134">
        <f t="shared" si="23"/>
        <v>21951</v>
      </c>
      <c r="M20" s="134">
        <f t="shared" si="23"/>
        <v>830</v>
      </c>
      <c r="N20" s="134">
        <f t="shared" si="23"/>
        <v>3649</v>
      </c>
      <c r="O20" s="134">
        <f t="shared" si="23"/>
        <v>780</v>
      </c>
      <c r="P20" s="134">
        <f t="shared" si="23"/>
        <v>454</v>
      </c>
      <c r="Q20" s="134">
        <f t="shared" si="23"/>
        <v>460</v>
      </c>
      <c r="R20" s="134">
        <f t="shared" si="23"/>
        <v>11731</v>
      </c>
      <c r="S20" s="134">
        <f t="shared" si="23"/>
        <v>20837</v>
      </c>
      <c r="T20" s="134">
        <f t="shared" si="23"/>
        <v>5430</v>
      </c>
      <c r="U20" s="134">
        <f t="shared" si="23"/>
        <v>6113</v>
      </c>
      <c r="V20" s="134">
        <f t="shared" si="23"/>
        <v>20339</v>
      </c>
      <c r="W20" s="134">
        <f t="shared" si="23"/>
        <v>972</v>
      </c>
      <c r="X20" s="134">
        <f t="shared" si="23"/>
        <v>3829</v>
      </c>
      <c r="Y20" s="134">
        <f t="shared" si="23"/>
        <v>298</v>
      </c>
      <c r="Z20" s="134">
        <f t="shared" si="23"/>
        <v>321</v>
      </c>
      <c r="AA20" s="134">
        <f t="shared" si="23"/>
        <v>297</v>
      </c>
      <c r="AB20" s="134">
        <f t="shared" si="23"/>
        <v>322</v>
      </c>
      <c r="AC20" s="134">
        <f t="shared" si="23"/>
        <v>0</v>
      </c>
      <c r="AD20" s="134">
        <f t="shared" si="23"/>
        <v>19</v>
      </c>
      <c r="AE20" s="134">
        <f t="shared" si="23"/>
        <v>19</v>
      </c>
      <c r="AF20" s="134">
        <f t="shared" si="23"/>
        <v>0</v>
      </c>
      <c r="AG20" s="134">
        <f t="shared" si="23"/>
        <v>263</v>
      </c>
      <c r="AH20" s="134">
        <f t="shared" si="23"/>
        <v>282</v>
      </c>
      <c r="AI20" s="134">
        <f t="shared" si="23"/>
        <v>224</v>
      </c>
      <c r="AJ20" s="134">
        <f t="shared" si="23"/>
        <v>321</v>
      </c>
      <c r="AK20" s="134">
        <f t="shared" si="23"/>
        <v>11</v>
      </c>
      <c r="AL20" s="134">
        <f t="shared" si="23"/>
        <v>61</v>
      </c>
      <c r="AM20" s="134">
        <f t="shared" si="23"/>
        <v>64</v>
      </c>
      <c r="AN20" s="209">
        <f t="shared" si="23"/>
        <v>8</v>
      </c>
      <c r="AO20" s="210">
        <v>12</v>
      </c>
      <c r="AP20" s="210">
        <v>12</v>
      </c>
      <c r="AQ20" s="210">
        <v>12</v>
      </c>
      <c r="AR20" s="210">
        <v>12</v>
      </c>
      <c r="AS20" s="152">
        <f t="shared" si="23"/>
        <v>0</v>
      </c>
      <c r="AT20" s="152">
        <f t="shared" si="23"/>
        <v>0</v>
      </c>
      <c r="AU20" s="210"/>
      <c r="AV20" s="211"/>
      <c r="AW20" s="210"/>
      <c r="AX20" s="211"/>
      <c r="AY20" s="133">
        <f>SUBTOTAL(9,AY9:AY19)</f>
        <v>21100</v>
      </c>
      <c r="AZ20" s="134">
        <f>SUBTOTAL(9,AZ9:AZ19)</f>
        <v>5712</v>
      </c>
      <c r="BA20" s="134">
        <f>SUBTOTAL(9,BA9:BA19)</f>
        <v>6337</v>
      </c>
      <c r="BB20" s="134">
        <f>SUBTOTAL(9,BB9:BB19)</f>
        <v>20660</v>
      </c>
      <c r="BC20" s="135">
        <f>SUBTOTAL(9,BC9:BC19)</f>
        <v>2099</v>
      </c>
      <c r="BD20" s="212">
        <f>IF(ISNUMBER(BA20/AZ20),BA20/AZ20," - ")</f>
        <v>1.1094187675070029</v>
      </c>
      <c r="BE20" s="209">
        <f>IF(ISNUMBER(BB20/BA20),BB20/BA20, " - ")</f>
        <v>3.2602177686602491</v>
      </c>
      <c r="BF20" s="209">
        <f>IF(ISNUMBER(BC20/BA20),BC20/BA20, " - ")</f>
        <v>0.33122928830676979</v>
      </c>
      <c r="BG20" s="135">
        <f>IF(ISNUMBER((AY20+AZ20)/BA20),(AY20+AZ20)/BA20," - ")</f>
        <v>4.23102414391668</v>
      </c>
      <c r="BH20" s="210">
        <f>SUBTOTAL(9,BH9:BH19)</f>
        <v>22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S/9WhN23j9TX4C1bVeiuE0ZGnhUFUdRg4L0gJHEdedWfRxC7AC20JXuPg4lyi+AkwMYjIzJmIR8bDkwLR6zpA==" saltValue="lxnLVJNzDBexPLusnn3hZ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NcafR2ebLglcg8FEL5Ba0X/zX9LtUzjNfYb+PycE6XgqljphpwZ2exlyLgkVmU9GqYNeyPsHGHMngM4BUkPPg==" saltValue="orxtJx0qcMR3j0q/DGqhk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ARGANDA DEL REY</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269</v>
      </c>
      <c r="O9" s="333"/>
      <c r="P9" s="333"/>
      <c r="Q9" s="225">
        <f>IF(ISNUMBER(Datos!P9),Datos!P9,0)</f>
        <v>161</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172</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223</v>
      </c>
      <c r="AI9" s="333" t="str">
        <f>IF(ISNUMBER(Datos!CD9),Datos!CD9,"-")</f>
        <v>-</v>
      </c>
      <c r="AJ9" s="333" t="str">
        <f>IF(ISNUMBER(Datos!EN9),Datos!EN9," - ")</f>
        <v xml:space="preserve"> - </v>
      </c>
      <c r="AK9" s="333"/>
      <c r="AL9" s="478"/>
      <c r="AM9" s="334">
        <f>IF(ISNUMBER(Datos!R9),Datos!R9," - ")</f>
        <v>6605</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292</v>
      </c>
      <c r="BD9" s="228">
        <f>IF(ISNUMBER(Datos!N9),Datos!N9," - ")</f>
        <v>961</v>
      </c>
      <c r="BE9" s="228" t="str">
        <f>IF(ISNUMBER(Datos!BW9),Datos!BW9," - ")</f>
        <v xml:space="preserve"> - </v>
      </c>
      <c r="BF9" s="227" t="str">
        <f>IF(ISNUMBER(Datos!BX9),Datos!BX9," - ")</f>
        <v xml:space="preserve"> - </v>
      </c>
      <c r="BG9" s="242">
        <f>IF(ISNUMBER(IF(J_V="SI",Datos!K9/Datos!J9,(Datos!K9+Datos!AA9)/(Datos!J9+Datos!Z9))),IF(J_V="SI",Datos!K9/Datos!J9,(Datos!K9+Datos!AA9)/(Datos!J9+Datos!Z9))," - ")</f>
        <v>0.69233216671969455</v>
      </c>
      <c r="BH9" s="259">
        <f>IF(ISNUMBER(((IF(J_V="SI",Datos!L9/Datos!K9,(Datos!L9+Datos!AB9)/(Datos!K9+Datos!AA9)))*11)/factor_trimestre),((IF(J_V="SI",Datos!L9/Datos!K9,(Datos!L9+Datos!AB9)/(Datos!K9+Datos!AA9)))*11)/factor_trimestre," - ")</f>
        <v>16.497242647058826</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-1.6626360338573155E-3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149</v>
      </c>
      <c r="G10" s="332">
        <f>IF(ISNUMBER(Datos!I10),Datos!I10," - ")</f>
        <v>149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65</v>
      </c>
      <c r="AC10" s="225">
        <f>IF(ISNUMBER(Datos!Q10),Datos!Q10," - ")</f>
        <v>9</v>
      </c>
      <c r="AD10" s="333"/>
      <c r="AE10" s="483"/>
      <c r="AF10" s="331">
        <f>IF(ISNUMBER(Datos!L10),Datos!L10,"-")</f>
        <v>149</v>
      </c>
      <c r="AG10" s="333"/>
      <c r="AH10" s="333"/>
      <c r="AI10" s="333"/>
      <c r="AJ10" s="333"/>
      <c r="AK10" s="333"/>
      <c r="AL10" s="478"/>
      <c r="AM10" s="334">
        <f>IF(ISNUMBER(Datos!R10),Datos!R10," - ")</f>
        <v>78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21</v>
      </c>
      <c r="BD10" s="228">
        <f>IF(ISNUMBER(Datos!N10),Datos!N10," - ")</f>
        <v>26</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6.8769230769230774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0.14705882352941177</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52</v>
      </c>
      <c r="O12" s="333"/>
      <c r="P12" s="333"/>
      <c r="Q12" s="225">
        <f>IF(ISNUMBER(Datos!P12),Datos!P12,0)</f>
        <v>133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99</v>
      </c>
      <c r="AI12" s="333" t="str">
        <f>IF(ISNUMBER(Datos!CD12),Datos!CD12,"-")</f>
        <v>-</v>
      </c>
      <c r="AJ12" s="333" t="str">
        <f>IF(ISNUMBER(Datos!EN12),Datos!EN12," - ")</f>
        <v xml:space="preserve"> - </v>
      </c>
      <c r="AK12" s="333"/>
      <c r="AL12" s="478"/>
      <c r="AM12" s="334">
        <f>IF(ISNUMBER(Datos!R12),Datos!R12," - ")</f>
        <v>4531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115</v>
      </c>
      <c r="BD12" s="228">
        <f>IF(ISNUMBER(Datos!N12),Datos!N12," - ")</f>
        <v>259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1.7613365155131264</v>
      </c>
      <c r="BH12" s="259">
        <f>IF(ISNUMBER(((IF(J_V="SI",Datos!L12/Datos!K12,(Datos!L12+Datos!AB12)/(Datos!K12+Datos!AA12)))*11)/factor_trimestre),((IF(J_V="SI",Datos!L12/Datos!K12,(Datos!L12+Datos!AB12)/(Datos!K12+Datos!AA12)))*11)/factor_trimestre," - ")</f>
        <v>20.947154471544714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9.1314031180400896E-3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149</v>
      </c>
      <c r="G13" s="895">
        <f t="shared" si="0"/>
        <v>149</v>
      </c>
      <c r="H13" s="896">
        <f t="shared" si="0"/>
        <v>0</v>
      </c>
      <c r="I13" s="895">
        <f t="shared" si="0"/>
        <v>0</v>
      </c>
      <c r="J13" s="864">
        <f t="shared" si="0"/>
        <v>0</v>
      </c>
      <c r="K13" s="864">
        <f t="shared" si="0"/>
        <v>0</v>
      </c>
      <c r="L13" s="896">
        <f t="shared" si="0"/>
        <v>0</v>
      </c>
      <c r="M13" s="896">
        <f t="shared" si="0"/>
        <v>0</v>
      </c>
      <c r="N13" s="896">
        <f t="shared" si="0"/>
        <v>321</v>
      </c>
      <c r="O13" s="897">
        <f t="shared" si="0"/>
        <v>0</v>
      </c>
      <c r="P13" s="897">
        <f t="shared" si="0"/>
        <v>0</v>
      </c>
      <c r="Q13" s="896">
        <f t="shared" si="0"/>
        <v>313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65</v>
      </c>
      <c r="AC13" s="896">
        <f t="shared" si="1"/>
        <v>273</v>
      </c>
      <c r="AD13" s="896">
        <f t="shared" si="1"/>
        <v>0</v>
      </c>
      <c r="AE13" s="896">
        <f t="shared" si="1"/>
        <v>0</v>
      </c>
      <c r="AF13" s="896">
        <f t="shared" si="1"/>
        <v>149</v>
      </c>
      <c r="AG13" s="896">
        <f t="shared" si="1"/>
        <v>0</v>
      </c>
      <c r="AH13" s="896">
        <f t="shared" si="1"/>
        <v>322</v>
      </c>
      <c r="AI13" s="896">
        <f t="shared" si="1"/>
        <v>0</v>
      </c>
      <c r="AJ13" s="896">
        <f t="shared" si="1"/>
        <v>0</v>
      </c>
      <c r="AK13" s="896">
        <f t="shared" si="1"/>
        <v>0</v>
      </c>
      <c r="AL13" s="896">
        <f t="shared" si="1"/>
        <v>0</v>
      </c>
      <c r="AM13" s="896">
        <f t="shared" si="1"/>
        <v>11214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428</v>
      </c>
      <c r="BD13" s="896">
        <f t="shared" si="1"/>
        <v>1246</v>
      </c>
      <c r="BE13" s="896">
        <f t="shared" si="1"/>
        <v>0</v>
      </c>
      <c r="BF13" s="896">
        <f t="shared" si="1"/>
        <v>0</v>
      </c>
      <c r="BG13" s="896">
        <f>IF(ISNUMBER(Datos!K13/Datos!J13),Datos!K13/Datos!J13," - ")</f>
        <v>0.81125226860254085</v>
      </c>
      <c r="BH13" s="900">
        <f>IF(ISNUMBER(((Datos!L13/Datos!K13)*11)/factor_trimestre),((Datos!L13/Datos!K13)*11)/factor_trimestre," - ")</f>
        <v>18.955257270693512</v>
      </c>
      <c r="BI13" s="896">
        <f>IF(ISNUMBER('Resol  Asuntos'!D13/NºAsuntos!G13),'Resol  Asuntos'!D13/NºAsuntos!G13," - ")</f>
        <v>0.14367237327962404</v>
      </c>
      <c r="BJ13" s="896" t="str">
        <f>IF(ISNUMBER(Datos!CI13/Datos!CJ13),Datos!CI13/Datos!CJ13," - ")</f>
        <v xml:space="preserve"> - </v>
      </c>
      <c r="BK13" s="896">
        <f>SUBTOTAL(9,BK8:BK12)</f>
        <v>0</v>
      </c>
      <c r="BL13" s="896">
        <f>IF(ISNUMBER((I13-AB13+L13)/(F13)),(I13-AB13+L13)/(F13)," - ")</f>
        <v>-0.43624161073825501</v>
      </c>
      <c r="BM13" s="901">
        <f>SUBTOTAL(9,BM9:BM12)</f>
        <v>0.15452759061359453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2453</v>
      </c>
      <c r="G15" s="596">
        <f>IF(ISNUMBER(IF(D_I="SI",Datos!I15,Datos!I15+Datos!AC15)),IF(D_I="SI",Datos!I15,Datos!I15+Datos!AC15)," - ")</f>
        <v>2437</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58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2661</v>
      </c>
      <c r="AC15" s="225">
        <f>IF(ISNUMBER(Datos!Q15),Datos!Q15," - ")</f>
        <v>85</v>
      </c>
      <c r="AD15" s="333"/>
      <c r="AE15" s="483"/>
      <c r="AF15" s="1192">
        <f>IF(ISNUMBER(IF(D_I="SI",Datos!L15,Datos!L15+Datos!AF15)),IF(D_I="SI",Datos!L15,Datos!L15+Datos!AF15)," - ")</f>
        <v>2522</v>
      </c>
      <c r="AG15" s="333"/>
      <c r="AH15" s="333"/>
      <c r="AI15" s="333"/>
      <c r="AJ15" s="333"/>
      <c r="AK15" s="333"/>
      <c r="AL15" s="478"/>
      <c r="AM15" s="334">
        <f>IF(ISNUMBER(Datos!R15),Datos!R15," - ")</f>
        <v>211</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298</v>
      </c>
      <c r="BD15" s="228">
        <f>IF(ISNUMBER(Datos!N15),Datos!N15," - ")</f>
        <v>1858</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0.9747252747252747</v>
      </c>
      <c r="BH15" s="259">
        <f>IF(ISNUMBER(((IF(D_I="SI",Datos!L15/Datos!K15,(Datos!L15+Datos!AF15)/(Datos!K15+Datos!AE15)))*11)/factor_trimestre),((IF(D_I="SI",Datos!L15/Datos!K15,(Datos!L15+Datos!AF15)/(Datos!K15+Datos!AE15)))*11)/factor_trimestre," - ")</f>
        <v>2.843291995490417</v>
      </c>
      <c r="BI15" s="242">
        <f>IF(ISNUMBER('Resol  Asuntos'!D15/NºAsuntos!G15),'Resol  Asuntos'!D15/NºAsuntos!G15," - ")</f>
        <v>0.11198797444569711</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2516</v>
      </c>
      <c r="G17" s="596">
        <f>IF(ISNUMBER(IF(D_I="SI",Datos!I17,Datos!I17+Datos!AC17)),IF(D_I="SI",Datos!I17,Datos!I17+Datos!AC17)," - ")</f>
        <v>2496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553</v>
      </c>
      <c r="AC17" s="225">
        <f>IF(ISNUMBER(Datos!Q17),Datos!Q17," - ")</f>
        <v>94</v>
      </c>
      <c r="AD17" s="333"/>
      <c r="AE17" s="483"/>
      <c r="AF17" s="1192">
        <f>IF(ISNUMBER(IF(D_I="SI",Datos!L17,Datos!L17+Datos!AF17)),IF(D_I="SI",Datos!L17,Datos!L17+Datos!AF17)," - ")</f>
        <v>2168</v>
      </c>
      <c r="AG17" s="333"/>
      <c r="AH17" s="333"/>
      <c r="AI17" s="333"/>
      <c r="AJ17" s="333"/>
      <c r="AK17" s="333"/>
      <c r="AL17" s="478"/>
      <c r="AM17" s="334">
        <f>IF(ISNUMBER(Datos!R17),Datos!R17," - ")</f>
        <v>300</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84</v>
      </c>
      <c r="BD17" s="228">
        <f>IF(ISNUMBER(Datos!N17),Datos!N17," - ")</f>
        <v>280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2.6975609756097563</v>
      </c>
      <c r="BH17" s="259">
        <f>IF(ISNUMBER(((IF(D_I="SI",Datos!L17/Datos!K17,(Datos!L17+Datos!AF17)/(Datos!K17+Datos!AE17)))*11)/factor_trimestre),((IF(D_I="SI",Datos!L17/Datos!K17,(Datos!L17+Datos!AF17)/(Datos!K17+Datos!AE17)))*11)/factor_trimestre," - ")</f>
        <v>11.761301989150091</v>
      </c>
      <c r="BI17" s="242">
        <f>IF(ISNUMBER('Resol  Asuntos'!D17/NºAsuntos!G17),'Resol  Asuntos'!D17/NºAsuntos!G17," - ")</f>
        <v>0.15189873417721519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331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403</v>
      </c>
      <c r="AC18" s="225">
        <f>IF(ISNUMBER(Datos!Q18),Datos!Q18," - ")</f>
        <v>8</v>
      </c>
      <c r="AD18" s="333"/>
      <c r="AE18" s="483"/>
      <c r="AF18" s="331">
        <f>IF(ISNUMBER(Datos!L18),Datos!L18,"-")</f>
        <v>315</v>
      </c>
      <c r="AG18" s="333"/>
      <c r="AH18" s="333"/>
      <c r="AI18" s="333"/>
      <c r="AJ18" s="333"/>
      <c r="AK18" s="333"/>
      <c r="AL18" s="478"/>
      <c r="AM18" s="334">
        <f>IF(ISNUMBER(Datos!R18),Datos!R18," - ")</f>
        <v>6</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20</v>
      </c>
      <c r="BD18" s="228">
        <f>IF(ISNUMBER(Datos!N18),Datos!N18," - ")</f>
        <v>265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1.0577427821522309</v>
      </c>
      <c r="BH18" s="259">
        <f>IF(ISNUMBER(((IF(D_I="SI",Datos!L18/Datos!K18,(Datos!L18+Datos!AF18)/(Datos!K18+Datos!AE18)))*11)/factor_trimestre),((IF(D_I="SI",Datos!L18/Datos!K18,(Datos!L18+Datos!AF18)/(Datos!K18+Datos!AE18)))*11)/factor_trimestre," - ")</f>
        <v>2.3449131513647647</v>
      </c>
      <c r="BI18" s="242">
        <f>IF(ISNUMBER('Resol  Asuntos'!D18/NºAsuntos!G18),'Resol  Asuntos'!D18/NºAsuntos!G18," - ")</f>
        <v>4.9627791563275438E-2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6</v>
      </c>
      <c r="F19" s="895">
        <f>SUBTOTAL(9,F15:F18)</f>
        <v>4969</v>
      </c>
      <c r="G19" s="895">
        <f>SUBTOTAL(9,G15:G18)</f>
        <v>5264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141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3617</v>
      </c>
      <c r="AC19" s="896">
        <f t="shared" si="4"/>
        <v>187</v>
      </c>
      <c r="AD19" s="896">
        <f t="shared" si="4"/>
        <v>0</v>
      </c>
      <c r="AE19" s="896">
        <f t="shared" si="4"/>
        <v>0</v>
      </c>
      <c r="AF19" s="896">
        <f t="shared" si="4"/>
        <v>5005</v>
      </c>
      <c r="AG19" s="896">
        <f t="shared" si="4"/>
        <v>0</v>
      </c>
      <c r="AH19" s="896">
        <f t="shared" si="4"/>
        <v>0</v>
      </c>
      <c r="AI19" s="896">
        <f t="shared" si="4"/>
        <v>0</v>
      </c>
      <c r="AJ19" s="896">
        <f t="shared" si="4"/>
        <v>0</v>
      </c>
      <c r="AK19" s="896">
        <f t="shared" si="4"/>
        <v>0</v>
      </c>
      <c r="AL19" s="896">
        <f t="shared" si="4"/>
        <v>0</v>
      </c>
      <c r="AM19" s="896">
        <f t="shared" si="4"/>
        <v>517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402</v>
      </c>
      <c r="BD19" s="896">
        <f t="shared" si="4"/>
        <v>2403</v>
      </c>
      <c r="BE19" s="896">
        <f t="shared" si="4"/>
        <v>0</v>
      </c>
      <c r="BF19" s="896">
        <f t="shared" si="4"/>
        <v>0</v>
      </c>
      <c r="BG19" s="896">
        <f>IF(ISNUMBER(Datos!K19/Datos!J19),Datos!K19/Datos!J19," - ")</f>
        <v>1.0907720144752715</v>
      </c>
      <c r="BH19" s="900">
        <f>IF(ISNUMBER(((Datos!L19/Datos!K19)*11)/factor_trimestre),((Datos!L19/Datos!K19)*11)/factor_trimestre," - ")</f>
        <v>4.1512303013547136</v>
      </c>
      <c r="BI19" s="896">
        <f>SUBTOTAL(9,BI15:BI18)</f>
        <v>0.31351450018618776</v>
      </c>
      <c r="BJ19" s="896">
        <f>SUBTOTAL(9,BJ15:BJ18)</f>
        <v>0</v>
      </c>
      <c r="BK19" s="896">
        <f>SUBTOTAL(9,BK15:BK18)</f>
        <v>0</v>
      </c>
      <c r="BL19" s="896">
        <f>IF(ISNUMBER((I19-AB19+L19)/(F19)),(I19-AB19+L19)/(F19)," - ")</f>
        <v>-0.72791306097806396</v>
      </c>
      <c r="BM19" s="902">
        <f>IF(ISNUMBER((Datos!P19-Datos!Q19)/(Datos!R19-Datos!P19+Datos!Q19)),(Datos!P19-Datos!Q19)/(Datos!R19-Datos!P19+Datos!Q19)," - ")</f>
        <v>-8.1705150976909419E-2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14</v>
      </c>
      <c r="F20" s="817">
        <f t="shared" si="6"/>
        <v>5118</v>
      </c>
      <c r="G20" s="817">
        <f t="shared" si="6"/>
        <v>5413</v>
      </c>
      <c r="H20" s="819">
        <f t="shared" si="6"/>
        <v>0</v>
      </c>
      <c r="I20" s="817">
        <f t="shared" si="6"/>
        <v>0</v>
      </c>
      <c r="J20" s="819">
        <f t="shared" si="6"/>
        <v>0</v>
      </c>
      <c r="K20" s="819">
        <f t="shared" si="6"/>
        <v>0</v>
      </c>
      <c r="L20" s="878">
        <f t="shared" si="6"/>
        <v>0</v>
      </c>
      <c r="M20" s="878">
        <f t="shared" si="6"/>
        <v>0</v>
      </c>
      <c r="N20" s="878">
        <f t="shared" si="6"/>
        <v>321</v>
      </c>
      <c r="O20" s="878">
        <f t="shared" si="6"/>
        <v>0</v>
      </c>
      <c r="P20" s="878">
        <f t="shared" si="6"/>
        <v>0</v>
      </c>
      <c r="Q20" s="819">
        <f t="shared" si="6"/>
        <v>454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3682</v>
      </c>
      <c r="AC20" s="818">
        <f t="shared" si="7"/>
        <v>460</v>
      </c>
      <c r="AD20" s="818">
        <f t="shared" si="7"/>
        <v>0</v>
      </c>
      <c r="AE20" s="818">
        <f t="shared" si="7"/>
        <v>0</v>
      </c>
      <c r="AF20" s="825">
        <f t="shared" si="7"/>
        <v>5154</v>
      </c>
      <c r="AG20" s="825">
        <f t="shared" si="7"/>
        <v>0</v>
      </c>
      <c r="AH20" s="825">
        <f t="shared" si="7"/>
        <v>322</v>
      </c>
      <c r="AI20" s="825">
        <f t="shared" si="7"/>
        <v>0</v>
      </c>
      <c r="AJ20" s="818">
        <f t="shared" si="7"/>
        <v>0</v>
      </c>
      <c r="AK20" s="825">
        <f t="shared" si="7"/>
        <v>0</v>
      </c>
      <c r="AL20" s="825">
        <f t="shared" si="7"/>
        <v>0</v>
      </c>
      <c r="AM20" s="825">
        <f t="shared" si="7"/>
        <v>11731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830</v>
      </c>
      <c r="BD20" s="817">
        <f t="shared" si="7"/>
        <v>3649</v>
      </c>
      <c r="BE20" s="817">
        <f t="shared" si="7"/>
        <v>0</v>
      </c>
      <c r="BF20" s="827">
        <f t="shared" si="7"/>
        <v>0</v>
      </c>
      <c r="BG20" s="912">
        <f>IF(ISNUMBER(Datos!K20/Datos!J20),Datos!K20/Datos!J20," - ")</f>
        <v>0.95122319540924194</v>
      </c>
      <c r="BH20" s="912">
        <f>IF(ISNUMBER(((Datos!L20/Datos!K20)*11)/factor_trimestre),((Datos!L20/Datos!K20)*11)/factor_trimestre," - ")</f>
        <v>10.45451658993491</v>
      </c>
      <c r="BI20" s="810">
        <f>IF(ISNUMBER(Datos!J20/Datos!I20),Datos!J20/Datos!I20," - ")</f>
        <v>0.30962734371347078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-0.7194216490816725</v>
      </c>
      <c r="BM20" s="886">
        <f>IF(ISNUMBER((Datos!P20-Datos!Q20+R20)/(Datos!R20-Datos!P20+Datos!Q20-R20)),(Datos!P20-Datos!Q20+R20)/(Datos!R20-Datos!P20+Datos!Q20-R20)," - ")</f>
        <v>-5.1120388514952714E-4</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1804.3333333333333</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3.011090610836324</v>
      </c>
      <c r="F22" s="550">
        <f>IF(ISNUMBER(STDEV(F8:F19)),STDEV(F8:F19),"-")</f>
        <v>2007.9646909246189</v>
      </c>
      <c r="G22" s="551">
        <f>IF(ISNUMBER(STDEV(G8:G19)),STDEV(G8:G19),"-")</f>
        <v>2024.7928947590335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1523.2987450486089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167.13040246637183</v>
      </c>
      <c r="BD22" s="550"/>
      <c r="BE22" s="550">
        <f>IF(ISNUMBER(STDEV(BE8:BE19)),STDEV(BE8:BE19),"-")</f>
        <v>0</v>
      </c>
      <c r="BF22" s="555">
        <f>IF(ISNUMBER(STDEV(BF8:BF19)),STDEV(BF8:BF19),"-")</f>
        <v>0</v>
      </c>
      <c r="BG22" s="772">
        <f>IF(ISNUMBER(STDEV(BG8:BG19)),STDEV(BG8:BG19),"-")</f>
        <v>0.66117480131288575</v>
      </c>
      <c r="BH22" s="773">
        <f>IF(ISNUMBER(STDEV(BH8:BH19)),STDEV(BH8:BH19),"-")</f>
        <v>7.528409055765108</v>
      </c>
      <c r="BI22" s="248">
        <f>IF(ISNUMBER(STDEV(BI8:BI19)),STDEV(BI8:BI19),"-")</f>
        <v>9.7742545446593096E-2</v>
      </c>
      <c r="BJ22" s="229" t="str">
        <f>IF(ISNUMBER(BL22/BM22),BL22/BM22," - ")</f>
        <v xml:space="preserve"> - </v>
      </c>
      <c r="BK22" s="574"/>
      <c r="BL22" s="558">
        <f>IF(ISNUMBER(STDEV(BL8:BL19)),STDEV(BL8:BL19),"-")</f>
        <v>0.20624286034308376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xDq6QKHRNqynlx8pEv2z+r4DfP8+3BMM8uJZ83l/+WbpqvozGHffSjwwQ1vm8cw89IGyzV/GXoQLSiwi6oLPGg==" saltValue="mNUy0v85XXCqkr8/Zy9gX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MADRID</v>
      </c>
    </row>
    <row r="2" spans="1:78" ht="16.5" customHeight="1">
      <c r="C2" s="527" t="str">
        <f>Criterios!A10 &amp;"  "&amp;Criterios!B10 &amp; "  " &amp; IF(NOT(ISBLANK(Criterios!A11)),Criterios!A11 &amp;"  "&amp;Criterios!B11,"")</f>
        <v>Provincias  MADRID  Resumenes por Partidos Judiciales  ARGANDA DEL REY</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161</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172</v>
      </c>
      <c r="AA9" s="331" t="str">
        <f>IF(ISNUMBER(IF(J_V="SI",Datos!L9,Datos!L9+Datos!AB9)-IF(Monitorios="SI",Datos!CD9,0)),
                          IF(J_V="SI",Datos!L9,Datos!L9+Datos!AB9)-IF(Monitorios="SI",Datos!CD9,0),
                          " - ")</f>
        <v xml:space="preserve"> - </v>
      </c>
      <c r="AB9" s="333"/>
      <c r="AC9" s="333"/>
      <c r="AD9" s="483"/>
      <c r="AE9" s="483">
        <f>IF(ISNUMBER(Datos!R9),Datos!R9," - ")</f>
        <v>6605</v>
      </c>
      <c r="AF9" s="228" t="str">
        <f>IF(ISNUMBER(Datos!BV9),Datos!BV9," - ")</f>
        <v xml:space="preserve"> - </v>
      </c>
      <c r="AG9" s="224" t="str">
        <f>IF(ISNUMBER(Datos!DV9),Datos!DV9," - ")</f>
        <v xml:space="preserve"> - </v>
      </c>
      <c r="AH9" s="297"/>
      <c r="AI9" s="226"/>
      <c r="AJ9" s="224">
        <f>IF(ISNUMBER(Datos!M9),Datos!M9," - ")</f>
        <v>292</v>
      </c>
      <c r="AK9" s="228">
        <f>IF(ISNUMBER(Datos!N9),Datos!N9," - ")</f>
        <v>961</v>
      </c>
      <c r="AL9" s="228" t="str">
        <f>IF(ISNUMBER(Datos!BW9),Datos!BW9," - ")</f>
        <v xml:space="preserve"> - </v>
      </c>
      <c r="AM9" s="227" t="str">
        <f>IF(ISNUMBER(Datos!BX9),Datos!BX9," - ")</f>
        <v xml:space="preserve"> - </v>
      </c>
      <c r="AN9" s="242"/>
      <c r="AO9" s="259">
        <f>IF(ISNUMBER(((NºAsuntos!I9/NºAsuntos!G9)*11)/factor_trimestre),((NºAsuntos!I9/NºAsuntos!G9)*11)/factor_trimestre," - ")</f>
        <v>16.497242647058826</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-1.6626360338573155E-3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149</v>
      </c>
      <c r="G10" s="224">
        <f>IF(ISNUMBER(Datos!I10),Datos!I10," - ")</f>
        <v>149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19</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65</v>
      </c>
      <c r="Z10" s="617">
        <f>IF(ISNUMBER(Datos!Q10),Datos!Q10," - ")</f>
        <v>9</v>
      </c>
      <c r="AA10" s="331">
        <f>IF(ISNUMBER(Datos!L10),Datos!L10,"-")</f>
        <v>149</v>
      </c>
      <c r="AB10" s="333"/>
      <c r="AC10" s="333"/>
      <c r="AD10" s="483"/>
      <c r="AE10" s="483">
        <f>IF(ISNUMBER(Datos!R10),Datos!R10," - ")</f>
        <v>78</v>
      </c>
      <c r="AF10" s="228" t="str">
        <f>IF(ISNUMBER(Datos!BV10),Datos!BV10," - ")</f>
        <v xml:space="preserve"> - </v>
      </c>
      <c r="AG10" s="224" t="str">
        <f>IF(ISNUMBER(Datos!DV10),Datos!DV10," - ")</f>
        <v xml:space="preserve"> - </v>
      </c>
      <c r="AH10" s="297"/>
      <c r="AI10" s="226"/>
      <c r="AJ10" s="224">
        <f>IF(ISNUMBER(Datos!M10),Datos!M10," - ")</f>
        <v>21</v>
      </c>
      <c r="AK10" s="228">
        <f>IF(ISNUMBER(Datos!N10),Datos!N10," - ")</f>
        <v>26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6.8769230769230774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0.14705882352941177</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133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92</v>
      </c>
      <c r="AA12" s="331" t="str">
        <f>IF(ISNUMBER(IF(J_V="SI",Datos!L12,Datos!L12+Datos!AB12)-IF(Monitorios="SI",Datos!CD12,0)),
                          IF(J_V="SI",Datos!L12,Datos!L12+Datos!AB12)-IF(Monitorios="SI",Datos!CD12,0),
                          " - ")</f>
        <v xml:space="preserve"> - </v>
      </c>
      <c r="AB12" s="333"/>
      <c r="AC12" s="333"/>
      <c r="AD12" s="483"/>
      <c r="AE12" s="483">
        <f>IF(ISNUMBER(Datos!R12),Datos!R12," - ")</f>
        <v>4531</v>
      </c>
      <c r="AF12" s="228" t="str">
        <f>IF(ISNUMBER(Datos!BV12),Datos!BV12," - ")</f>
        <v xml:space="preserve"> - </v>
      </c>
      <c r="AG12" s="224" t="str">
        <f>IF(ISNUMBER(Datos!DV12),Datos!DV12," - ")</f>
        <v xml:space="preserve"> - </v>
      </c>
      <c r="AH12" s="297"/>
      <c r="AI12" s="226"/>
      <c r="AJ12" s="224">
        <f>IF(ISNUMBER(Datos!M12),Datos!M12," - ")</f>
        <v>115</v>
      </c>
      <c r="AK12" s="228">
        <f>IF(ISNUMBER(Datos!N12),Datos!N12," - ")</f>
        <v>259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20.947154471544714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9.1314031180400896E-3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149</v>
      </c>
      <c r="G13" s="895">
        <f>SUBTOTAL(9,G8:G12)</f>
        <v>149</v>
      </c>
      <c r="H13" s="905"/>
      <c r="I13" s="895">
        <f t="shared" ref="I13:N13" si="0">SUBTOTAL(9,I8:I12)</f>
        <v>0</v>
      </c>
      <c r="J13" s="864">
        <f t="shared" si="0"/>
        <v>0</v>
      </c>
      <c r="K13" s="905">
        <f t="shared" si="0"/>
        <v>0</v>
      </c>
      <c r="L13" s="905">
        <f t="shared" si="0"/>
        <v>0</v>
      </c>
      <c r="M13" s="905">
        <f t="shared" si="0"/>
        <v>0</v>
      </c>
      <c r="N13" s="905">
        <f t="shared" si="0"/>
        <v>313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65</v>
      </c>
      <c r="Z13" s="904">
        <f t="shared" si="2"/>
        <v>273</v>
      </c>
      <c r="AA13" s="897">
        <f t="shared" si="2"/>
        <v>149</v>
      </c>
      <c r="AB13" s="897">
        <f t="shared" si="2"/>
        <v>0</v>
      </c>
      <c r="AC13" s="897">
        <f t="shared" si="2"/>
        <v>0</v>
      </c>
      <c r="AD13" s="897">
        <f t="shared" si="2"/>
        <v>0</v>
      </c>
      <c r="AE13" s="897">
        <f t="shared" si="2"/>
        <v>11214</v>
      </c>
      <c r="AF13" s="905">
        <f t="shared" si="2"/>
        <v>0</v>
      </c>
      <c r="AG13" s="905">
        <f t="shared" si="2"/>
        <v>0</v>
      </c>
      <c r="AH13" s="905">
        <f t="shared" si="2"/>
        <v>0</v>
      </c>
      <c r="AI13" s="905">
        <f t="shared" si="2"/>
        <v>0</v>
      </c>
      <c r="AJ13" s="905">
        <f t="shared" si="2"/>
        <v>428</v>
      </c>
      <c r="AK13" s="905">
        <f t="shared" si="2"/>
        <v>1246</v>
      </c>
      <c r="AL13" s="905">
        <f t="shared" si="2"/>
        <v>0</v>
      </c>
      <c r="AM13" s="905">
        <f t="shared" si="2"/>
        <v>0</v>
      </c>
      <c r="AN13" s="905">
        <f t="shared" si="2"/>
        <v>0</v>
      </c>
      <c r="AO13" s="901">
        <f>IF(ISNUMBER(((NºAsuntos!I13/NºAsuntos!G13)*11)/factor_trimestre),((NºAsuntos!I13/NºAsuntos!G13)*11)/factor_trimestre," - ")</f>
        <v>17.389728096676741</v>
      </c>
      <c r="AP13" s="907" t="str">
        <f>IF(ISNUMBER(Datos!CI13/Datos!CJ13),Datos!CI13/Datos!CJ13," - ")</f>
        <v xml:space="preserve"> - </v>
      </c>
      <c r="AQ13" s="923">
        <f t="shared" ref="AQ13:AV13" si="3">SUBTOTAL(9,AQ9:AQ12)</f>
        <v>0</v>
      </c>
      <c r="AR13" s="923">
        <f t="shared" si="3"/>
        <v>0.15452759061359453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4</v>
      </c>
      <c r="B15" s="506" t="s">
        <v>397</v>
      </c>
      <c r="C15" s="159" t="str">
        <f>Datos!A15</f>
        <v xml:space="preserve">Seccion Instruccion Del T.I.                   </v>
      </c>
      <c r="D15" s="501"/>
      <c r="E15" s="1163">
        <f>IF(ISNUMBER(Datos!AQ15),Datos!AQ15," - ")</f>
        <v>4</v>
      </c>
      <c r="F15" s="332">
        <f>IF(ISNUMBER(AA15+Y15-Datos!J15-K15),AA15+Y15-Datos!J15-K15," - ")</f>
        <v>2453</v>
      </c>
      <c r="G15" s="224">
        <f>IF(ISNUMBER(IF(D_I="SI",Datos!I15,Datos!I15+Datos!AC15)),IF(D_I="SI",Datos!I15,Datos!I15+Datos!AC15)," - ")</f>
        <v>2437</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58</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2661</v>
      </c>
      <c r="Z15" s="617">
        <f>IF(ISNUMBER(Datos!Q15),Datos!Q15," - ")</f>
        <v>85</v>
      </c>
      <c r="AA15" s="331">
        <f>IF(ISNUMBER(IF(D_I="SI",Datos!L15,Datos!L15+Datos!AF15)),IF(D_I="SI",Datos!L15,Datos!L15+Datos!AF15)," - ")</f>
        <v>2522</v>
      </c>
      <c r="AB15" s="333"/>
      <c r="AC15" s="333"/>
      <c r="AD15" s="483"/>
      <c r="AE15" s="483">
        <f>IF(ISNUMBER(Datos!R15),Datos!R15," - ")</f>
        <v>211</v>
      </c>
      <c r="AF15" s="228" t="str">
        <f>IF(ISNUMBER(Datos!BV15),Datos!BV15," - ")</f>
        <v xml:space="preserve"> - </v>
      </c>
      <c r="AG15" s="224"/>
      <c r="AH15" s="297"/>
      <c r="AI15" s="226"/>
      <c r="AJ15" s="224">
        <f>IF(ISNUMBER(Datos!M15),Datos!M15," - ")</f>
        <v>298</v>
      </c>
      <c r="AK15" s="228">
        <f>IF(ISNUMBER(Datos!N15),Datos!N15," - ")</f>
        <v>1858</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2.843291995490417</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f>IF(ISNUMBER(AA17+Y17-Datos!J17-K15),AA17+Y17-Datos!J17-K15," - ")</f>
        <v>2516</v>
      </c>
      <c r="G17" s="224">
        <f>IF(ISNUMBER(IF(D_I="SI",Datos!I17,Datos!I17+Datos!AC17)),IF(D_I="SI",Datos!I17,Datos!I17+Datos!AC17)," - ")</f>
        <v>2496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553</v>
      </c>
      <c r="Z17" s="617">
        <f>IF(ISNUMBER(Datos!Q17),Datos!Q17," - ")</f>
        <v>94</v>
      </c>
      <c r="AA17" s="331">
        <f>IF(ISNUMBER(IF(D_I="SI",Datos!L17,Datos!L17+Datos!AF17)),IF(D_I="SI",Datos!L17,Datos!L17+Datos!AF17)," - ")</f>
        <v>2168</v>
      </c>
      <c r="AB17" s="333"/>
      <c r="AC17" s="333"/>
      <c r="AD17" s="483"/>
      <c r="AE17" s="483">
        <f>IF(ISNUMBER(Datos!R17),Datos!R17," - ")</f>
        <v>300</v>
      </c>
      <c r="AF17" s="228" t="str">
        <f>IF(ISNUMBER(Datos!BV17),Datos!BV17," - ")</f>
        <v xml:space="preserve"> - </v>
      </c>
      <c r="AG17" s="224"/>
      <c r="AH17" s="297"/>
      <c r="AI17" s="226"/>
      <c r="AJ17" s="224">
        <f>IF(ISNUMBER(Datos!M17),Datos!M17," - ")</f>
        <v>84</v>
      </c>
      <c r="AK17" s="228">
        <f>IF(ISNUMBER(Datos!N17),Datos!N17," - ")</f>
        <v>280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11.761301989150091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331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4</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403</v>
      </c>
      <c r="Z18" s="617">
        <f>IF(ISNUMBER(Datos!Q18),Datos!Q18," - ")</f>
        <v>8</v>
      </c>
      <c r="AA18" s="331">
        <f>IF(ISNUMBER(Datos!L18),Datos!L18,"-")</f>
        <v>315</v>
      </c>
      <c r="AB18" s="333"/>
      <c r="AC18" s="333"/>
      <c r="AD18" s="483"/>
      <c r="AE18" s="483">
        <f>IF(ISNUMBER(Datos!R18),Datos!R18," - ")</f>
        <v>6</v>
      </c>
      <c r="AF18" s="228" t="str">
        <f>IF(ISNUMBER(Datos!BV18),Datos!BV18," - ")</f>
        <v xml:space="preserve"> - </v>
      </c>
      <c r="AG18" s="224" t="str">
        <f>IF(ISNUMBER(Datos!DV18),Datos!DV18," - ")</f>
        <v xml:space="preserve"> - </v>
      </c>
      <c r="AH18" s="297"/>
      <c r="AI18" s="226"/>
      <c r="AJ18" s="224">
        <f>IF(ISNUMBER(Datos!M18),Datos!M18," - ")</f>
        <v>20</v>
      </c>
      <c r="AK18" s="228">
        <f>IF(ISNUMBER(Datos!N18),Datos!N18," - ")</f>
        <v>265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2.3449131513647647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6</v>
      </c>
      <c r="F19" s="895">
        <f>SUBTOTAL(9,F15:F18)</f>
        <v>4969</v>
      </c>
      <c r="G19" s="895">
        <f>SUBTOTAL(9,G15:G18)</f>
        <v>5264</v>
      </c>
      <c r="H19" s="927">
        <f>SUBTOTAL(9,H15:H18)</f>
        <v>0</v>
      </c>
      <c r="I19" s="908">
        <f>SUBTOTAL(9,I15:I18)</f>
        <v>0</v>
      </c>
      <c r="J19" s="864">
        <f>SUBTOTAL(9,J14:J18)</f>
        <v>0</v>
      </c>
      <c r="K19" s="927">
        <f t="shared" ref="K19:S19" si="4">SUBTOTAL(9,K15:K18)</f>
        <v>0</v>
      </c>
      <c r="L19" s="927">
        <f t="shared" si="4"/>
        <v>0</v>
      </c>
      <c r="M19" s="927">
        <f t="shared" si="4"/>
        <v>0</v>
      </c>
      <c r="N19" s="927">
        <f t="shared" si="4"/>
        <v>141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3617</v>
      </c>
      <c r="Z19" s="927">
        <f t="shared" si="5"/>
        <v>187</v>
      </c>
      <c r="AA19" s="927">
        <f t="shared" si="5"/>
        <v>5005</v>
      </c>
      <c r="AB19" s="927">
        <f t="shared" si="5"/>
        <v>0</v>
      </c>
      <c r="AC19" s="927">
        <f t="shared" si="5"/>
        <v>0</v>
      </c>
      <c r="AD19" s="927">
        <f t="shared" si="5"/>
        <v>0</v>
      </c>
      <c r="AE19" s="927">
        <f t="shared" si="5"/>
        <v>517</v>
      </c>
      <c r="AF19" s="927">
        <f t="shared" si="5"/>
        <v>0</v>
      </c>
      <c r="AG19" s="927">
        <f t="shared" si="5"/>
        <v>0</v>
      </c>
      <c r="AH19" s="927">
        <f t="shared" si="5"/>
        <v>0</v>
      </c>
      <c r="AI19" s="927">
        <f t="shared" si="5"/>
        <v>0</v>
      </c>
      <c r="AJ19" s="927">
        <f t="shared" si="5"/>
        <v>402</v>
      </c>
      <c r="AK19" s="927">
        <f t="shared" si="5"/>
        <v>2403</v>
      </c>
      <c r="AL19" s="927">
        <f t="shared" si="5"/>
        <v>0</v>
      </c>
      <c r="AM19" s="927">
        <f t="shared" si="5"/>
        <v>0</v>
      </c>
      <c r="AN19" s="927">
        <f t="shared" si="5"/>
        <v>0</v>
      </c>
      <c r="AO19" s="929">
        <f>IF(ISNUMBER(((NºAsuntos!I19/NºAsuntos!G19)*11)/factor_trimestre),((NºAsuntos!I19/NºAsuntos!G19)*11)/factor_trimestre," - ")</f>
        <v>4.1512303013547136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14</v>
      </c>
      <c r="F20" s="817">
        <f t="shared" si="7"/>
        <v>5118</v>
      </c>
      <c r="G20" s="817">
        <f t="shared" si="7"/>
        <v>5413</v>
      </c>
      <c r="H20" s="818">
        <f t="shared" si="7"/>
        <v>0</v>
      </c>
      <c r="I20" s="817">
        <f t="shared" si="7"/>
        <v>0</v>
      </c>
      <c r="J20" s="819">
        <f t="shared" si="7"/>
        <v>0</v>
      </c>
      <c r="K20" s="817">
        <f t="shared" si="7"/>
        <v>0</v>
      </c>
      <c r="L20" s="820">
        <f t="shared" si="7"/>
        <v>0</v>
      </c>
      <c r="M20" s="817">
        <f t="shared" si="7"/>
        <v>0</v>
      </c>
      <c r="N20" s="818">
        <f t="shared" si="7"/>
        <v>454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3682</v>
      </c>
      <c r="Z20" s="824">
        <f t="shared" si="8"/>
        <v>460</v>
      </c>
      <c r="AA20" s="825">
        <f t="shared" si="8"/>
        <v>5154</v>
      </c>
      <c r="AB20" s="825">
        <f t="shared" si="8"/>
        <v>0</v>
      </c>
      <c r="AC20" s="825">
        <f t="shared" si="8"/>
        <v>0</v>
      </c>
      <c r="AD20" s="826">
        <f t="shared" si="8"/>
        <v>0</v>
      </c>
      <c r="AE20" s="826">
        <f t="shared" si="8"/>
        <v>11731</v>
      </c>
      <c r="AF20" s="827">
        <f t="shared" si="8"/>
        <v>0</v>
      </c>
      <c r="AG20" s="828">
        <f t="shared" si="8"/>
        <v>0</v>
      </c>
      <c r="AH20" s="829">
        <f t="shared" si="8"/>
        <v>0</v>
      </c>
      <c r="AI20" s="827">
        <f t="shared" si="8"/>
        <v>0</v>
      </c>
      <c r="AJ20" s="817">
        <f t="shared" si="8"/>
        <v>830</v>
      </c>
      <c r="AK20" s="817">
        <f t="shared" si="8"/>
        <v>3649</v>
      </c>
      <c r="AL20" s="817">
        <f t="shared" si="8"/>
        <v>0</v>
      </c>
      <c r="AM20" s="830">
        <f t="shared" si="8"/>
        <v>0</v>
      </c>
      <c r="AN20" s="820">
        <f>IF(ISNUMBER(Datos!K20/Datos!J20),Datos!K20/Datos!J20," - ")</f>
        <v>0.95122319540924194</v>
      </c>
      <c r="AO20" s="820">
        <f>IF(ISNUMBER(FIND("06",Criterios!A8,1)),(IF(ISNUMBER(((Datos!R20/Datos!Q20)*11)/factor_trimestre),((Datos!R20/Datos!Q20)*11)/factor_trimestre," - ")),(IF(ISNUMBER(((Datos!L20/Datos!K20)*11)/factor_trimestre),((Datos!L20/Datos!K20)*11)/factor_trimestre," - ")))</f>
        <v>10.45451658993491</v>
      </c>
      <c r="AP20" s="831" t="str">
        <f>IF(ISNUMBER(Datos!CI20/Datos!CJ20),Datos!CI20/Datos!CJ20," - ")</f>
        <v xml:space="preserve"> - </v>
      </c>
      <c r="AQ20" s="831">
        <f>IF(OR(ISNUMBER(FIND("01",Criterios!A8,1)),ISNUMBER(FIND("02",Criterios!A8,1)),ISNUMBER(FIND("03",Criterios!A8,1)),ISNUMBER(FIND("04",Criterios!A8,1))),(J20-Y20+K20)/(F20-K20),(I20-Y20+K20)/(F20-K20))</f>
        <v>-0.7194216490816725</v>
      </c>
      <c r="AR20" s="831">
        <f>IF(ISNUMBER((Datos!P20-Datos!Q20+O20)/(Datos!R20-Datos!P20+Datos!Q20-O20)),(Datos!P20-Datos!Q20+O20)/(Datos!R20-Datos!P20+Datos!Q20-O20)," - ")</f>
        <v>-5.1120388514952714E-4</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1804.3333333333333</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2007.9646909246189</v>
      </c>
      <c r="G22" s="551">
        <f>IF(ISNUMBER(STDEV(G8:G19)),STDEV(G8:G19),"-")</f>
        <v>2024.7928947590335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167.13040246637183</v>
      </c>
      <c r="AK22" s="251"/>
      <c r="AL22" s="251">
        <f>IF(ISNUMBER(STDEV(AL8:AL19)),STDEV(AL8:AL19),"-")</f>
        <v>0</v>
      </c>
      <c r="AM22" s="253">
        <f>IF(ISNUMBER(STDEV(AM8:AM19)),STDEV(AM8:AM19),"-")</f>
        <v>0</v>
      </c>
      <c r="AN22" s="538">
        <f>IF(ISNUMBER(STDEV(AN8:AN19)),STDEV(AN8:AN19),"-")</f>
        <v>0</v>
      </c>
      <c r="AO22" s="539">
        <f>IF(ISNUMBER(STDEV(AO8:AO19)),STDEV(AO8:AO19),"-")</f>
        <v>7.2953692972421464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Wvbuj9WYBiZ3mm+E0ybb7XNMSfYZ9d3fPW7piiI4c9owFzjPDV4YpfB9OiztpYbztG1EtNTZWaH9wKxp/n6z/g==" saltValue="UFanSRTbytY20AP46LuF6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WbHg0TKI44P8DTlDPvI9bw4afiPEOOvGcnH2mcDy9z3QvdhcycyFdPNJlDEMf1AdPph467c1uWzVwT/X8zFbog==" saltValue="aMLdk/4IBMuPS0aoArg2q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MADRID</v>
      </c>
    </row>
    <row r="4" spans="1:156" ht="13.5" thickBot="1">
      <c r="A4" t="str">
        <f>Criterios!A10</f>
        <v>Provincias</v>
      </c>
      <c r="B4" t="str">
        <f>Criterios!B10</f>
        <v>MADRID</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RWyYtbniIjemyNylzWQF6Ej74aAmSSI6XyjGuPmql3sqGYiMVa0yK4cPX8EiNxQgcmvLSh06j+p9dOQoReJ+w==" saltValue="QeX1Kh782NPu4a4skOYJa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MADRID</v>
      </c>
    </row>
    <row r="2" spans="1:78" ht="16.5" customHeight="1">
      <c r="C2" s="487" t="str">
        <f>Criterios!A10 &amp;"  "&amp;Criterios!B10 &amp; "  " &amp; IF(NOT(ISBLANK(Criterios!A11)),Criterios!A11 &amp;"  "&amp;Criterios!B11,"")</f>
        <v>Provincias  MADRID  Resumenes por Partidos Judiciales  ARGANDA DEL REY</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0.14367237327962404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0.1015917094151871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ByzXCe93YBXNavjpVtComX2SFEwvFEM2bHBEXnhZwlBlW7RdjIodFWnpgWm+GZ/dchBGo1Sv5zPhyGViEXNYug==" saltValue="fyWeI6+/GBIwtRyg5eq8g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dcfy32t4WPXceVu2uz7XumY0n7lpb6iSarMwj/nN3RxUrumsFMN2OO+CQM3S4prmPlY4RQgMjQE8a38OyH7TqQ==" saltValue="GItQuNRr/miqHIxWxuC/9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MADRID</v>
      </c>
      <c r="W1"/>
      <c r="X1"/>
    </row>
    <row r="2" spans="1:78" ht="16.5" customHeight="1">
      <c r="C2" s="487" t="str">
        <f>Criterios!A10 &amp;"  "&amp;Criterios!B10 &amp; "  " &amp; IF(NOT(ISBLANK(Criterios!A11)),Criterios!A11 &amp;"  "&amp;Criterios!B11,"")</f>
        <v>Provincias  MADRID  Resumenes por Partidos Judiciales  ARGANDA DEL REY</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149</v>
      </c>
      <c r="G10" s="681">
        <f>IF(ISNUMBER(Datos!I10),Datos!I10," - ")</f>
        <v>149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19</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65</v>
      </c>
      <c r="AC10" s="680" t="str">
        <f>IF(ISNUMBER(IF(D_I="SI",DatosP!K18,DatosP!K18+DatosP!AE18)),IF(D_I="SI",DatosP!K18,DatosP!K18+DatosP!AE18)," - ")</f>
        <v xml:space="preserve"> - </v>
      </c>
      <c r="AD10" s="682"/>
      <c r="AE10" s="682"/>
      <c r="AF10" s="685">
        <f>IF(ISNUMBER(Datos!L10),Datos!L10,"-")</f>
        <v>149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21</v>
      </c>
      <c r="AM10" s="687">
        <f>IF(ISNUMBER(Datos!N10+DatosP!N18),Datos!N10+DatosP!N18," - ")</f>
        <v>26</v>
      </c>
      <c r="AN10" s="687">
        <f>IF(ISNUMBER(Datos!BW10+DatosP!BW18),Datos!BW10+DatosP!BW18," - ")</f>
        <v>0</v>
      </c>
      <c r="AO10" s="688">
        <f>IF(ISNUMBER(Datos!BX10+DatosP!BX18),Datos!BX10+DatosP!BX18," - ")</f>
        <v>0</v>
      </c>
      <c r="AP10" s="690">
        <f>IF(ISNUMBER(((Datos!L10/Datos!K10)*11)/factor_trimestre),((Datos!L10/Datos!K10)*11)/factor_trimestre," - ")</f>
        <v>6.8769230769230774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133</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4531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115</v>
      </c>
      <c r="AM12" s="687">
        <f>IF(ISNUMBER(Datos!N12+DatosP!N17),Datos!N12+DatosP!N17," - ")</f>
        <v>259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20.947154471544714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9.1314031180400896E-3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149</v>
      </c>
      <c r="G13" s="933">
        <f t="shared" si="0"/>
        <v>149</v>
      </c>
      <c r="H13" s="933">
        <f t="shared" si="0"/>
        <v>0</v>
      </c>
      <c r="I13" s="935">
        <f t="shared" si="0"/>
        <v>0</v>
      </c>
      <c r="J13" s="934">
        <f t="shared" si="0"/>
        <v>0</v>
      </c>
      <c r="K13" s="934">
        <f t="shared" si="0"/>
        <v>0</v>
      </c>
      <c r="L13" s="936">
        <f t="shared" si="0"/>
        <v>0</v>
      </c>
      <c r="M13" s="936">
        <f t="shared" si="0"/>
        <v>0</v>
      </c>
      <c r="N13" s="934">
        <f t="shared" si="0"/>
        <v>152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65</v>
      </c>
      <c r="AC13" s="934">
        <f t="shared" si="1"/>
        <v>0</v>
      </c>
      <c r="AD13" s="934">
        <f t="shared" si="1"/>
        <v>92</v>
      </c>
      <c r="AE13" s="934">
        <f t="shared" si="1"/>
        <v>0</v>
      </c>
      <c r="AF13" s="934">
        <f t="shared" si="1"/>
        <v>149</v>
      </c>
      <c r="AG13" s="934">
        <f t="shared" si="1"/>
        <v>0</v>
      </c>
      <c r="AH13" s="934">
        <f t="shared" si="1"/>
        <v>4531</v>
      </c>
      <c r="AI13" s="934">
        <f t="shared" si="1"/>
        <v>0</v>
      </c>
      <c r="AJ13" s="934">
        <f t="shared" si="1"/>
        <v>0</v>
      </c>
      <c r="AK13" s="934">
        <f t="shared" si="1"/>
        <v>0</v>
      </c>
      <c r="AL13" s="934">
        <f t="shared" si="1"/>
        <v>136</v>
      </c>
      <c r="AM13" s="934">
        <f t="shared" si="1"/>
        <v>285</v>
      </c>
      <c r="AN13" s="934">
        <f t="shared" si="1"/>
        <v>0</v>
      </c>
      <c r="AO13" s="934">
        <f t="shared" si="1"/>
        <v>0</v>
      </c>
      <c r="AP13" s="939">
        <f>IF(ISNUMBER(((Datos!L13/Datos!K13)*11)/factor_trimestre),((Datos!L13/Datos!K13)*11)/factor_trimestre," - ")</f>
        <v>18.955257270693512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-0.43624161073825501</v>
      </c>
      <c r="AU13" s="934" t="str">
        <f>IF(ISNUMBER((DatosP!#REF!-DatosP!#REF!+DatosP!#REF!)/(DatosP!#REF!+DatosP!#REF!-DatosP!#REF!-DatosP!#REF!)),(DatosP!#REF!-DatosP!#REF!+DatosP!#REF!)/(DatosP!#REF!+DatosP!#REF!-DatosP!#REF!-DatosP!#REF!)," - ")</f>
        <v xml:space="preserve"> - </v>
      </c>
      <c r="AV13" s="940">
        <f>SUBTOTAL(9,AV9:AV12)</f>
        <v>9.1314031180400896E-3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4</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4.1512303013547136</v>
      </c>
      <c r="AQ19" s="939">
        <f>IF(ISNUMBER(((Datos!M19/Datos!L19)*11)/factor_trimestre),((Datos!M19/Datos!L19)*11)/factor_trimestre," - ")</f>
        <v>0.24095904095904097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-8.1705150976909419E-2</v>
      </c>
      <c r="AW19" s="941">
        <f>IF(ISNUMBER((Datos!Q19-Datos!R19)/(Datos!S19-Datos!Q19+Datos!R19)),(Datos!Q19-Datos!R19)/(Datos!S19-Datos!Q19+Datos!R19)," - ")</f>
        <v>-6.8111455108359129E-2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149</v>
      </c>
      <c r="G20" s="946">
        <f t="shared" si="4"/>
        <v>149</v>
      </c>
      <c r="H20" s="946">
        <f t="shared" si="4"/>
        <v>0</v>
      </c>
      <c r="I20" s="947">
        <f t="shared" si="4"/>
        <v>0</v>
      </c>
      <c r="J20" s="948">
        <f t="shared" si="4"/>
        <v>0</v>
      </c>
      <c r="K20" s="948">
        <f t="shared" si="4"/>
        <v>0</v>
      </c>
      <c r="L20" s="948">
        <f t="shared" si="4"/>
        <v>0</v>
      </c>
      <c r="M20" s="948">
        <f t="shared" si="4"/>
        <v>0</v>
      </c>
      <c r="N20" s="947">
        <f t="shared" si="4"/>
        <v>152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65</v>
      </c>
      <c r="AC20" s="952">
        <f t="shared" si="5"/>
        <v>0</v>
      </c>
      <c r="AD20" s="952">
        <f t="shared" si="5"/>
        <v>92</v>
      </c>
      <c r="AE20" s="952">
        <f t="shared" si="5"/>
        <v>0</v>
      </c>
      <c r="AF20" s="953">
        <f t="shared" si="5"/>
        <v>149</v>
      </c>
      <c r="AG20" s="953">
        <f t="shared" si="5"/>
        <v>0</v>
      </c>
      <c r="AH20" s="953">
        <f t="shared" si="5"/>
        <v>4531</v>
      </c>
      <c r="AI20" s="953">
        <f t="shared" si="5"/>
        <v>0</v>
      </c>
      <c r="AJ20" s="954">
        <f t="shared" si="5"/>
        <v>0</v>
      </c>
      <c r="AK20" s="954">
        <f t="shared" si="5"/>
        <v>0</v>
      </c>
      <c r="AL20" s="946">
        <f t="shared" si="5"/>
        <v>136</v>
      </c>
      <c r="AM20" s="946">
        <f t="shared" si="5"/>
        <v>285</v>
      </c>
      <c r="AN20" s="946">
        <f t="shared" si="5"/>
        <v>0</v>
      </c>
      <c r="AO20" s="946">
        <f t="shared" si="5"/>
        <v>0</v>
      </c>
      <c r="AP20" s="946">
        <f>IF(ISNUMBER(((Datos!L20/Datos!K20)*11)/factor_trimestre),((Datos!L20/Datos!K20)*11)/factor_trimestre," - ")</f>
        <v>10.45451658993491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-0.43624161073825501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-5.1120388514952714E-4</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99.333333333333329</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3.5023801430836525</v>
      </c>
      <c r="F22" s="733">
        <f>IF(ISNUMBER(STDEV(F8:F19)),STDEV(F8:F19),"-")</f>
        <v>86.02519010925424</v>
      </c>
      <c r="G22" s="734">
        <f>IF(ISNUMBER(STDEV(G8:G19)),STDEV(G8:G19),"-")</f>
        <v>86.02519010925424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37.527767497325677</v>
      </c>
      <c r="AC22" s="735">
        <f>IF(ISNUMBER(STDEV(AC8:AC19)),STDEV(AC8:AC19),"-")</f>
        <v>0</v>
      </c>
      <c r="AD22" s="738"/>
      <c r="AE22" s="738"/>
      <c r="AF22" s="738"/>
      <c r="AG22" s="738"/>
      <c r="AH22" s="738"/>
      <c r="AI22" s="738"/>
      <c r="AJ22" s="739">
        <f>IF(ISNUMBER(STDEV(AJ8:AJ19)),STDEV(AJ8:AJ19),"-")</f>
        <v>0</v>
      </c>
      <c r="AK22" s="741"/>
      <c r="AL22" s="733">
        <f>IF(ISNUMBER(STDEV(AL8:AL19)),STDEV(AL8:AL19),"-")</f>
        <v>67.493209534984572</v>
      </c>
      <c r="AM22" s="733"/>
      <c r="AN22" s="733">
        <f>IF(ISNUMBER(STDEV(AN8:AN19)),STDEV(AN8:AN19),"-")</f>
        <v>0</v>
      </c>
      <c r="AO22" s="739">
        <f>IF(ISNUMBER(STDEV(AO8:AO19)),STDEV(AO8:AO19),"-")</f>
        <v>0</v>
      </c>
      <c r="AP22" s="776">
        <f>IF(ISNUMBER(STDEV(AP8:AP19)),STDEV(AP8:AP19),"-")</f>
        <v>8.4484560088408429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oCisr1vrpnT8V3jiD6qpjHiMfIX6IL0Khk286X0hBkhJeicw30xIypgH+mf/bRMIAbkE3XPcGvHEuLmaI9/cGg==" saltValue="+fqYj91UL9o6d3Ey96YoG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MADRID</v>
      </c>
    </row>
    <row r="2" spans="1:168" ht="16.5" customHeight="1">
      <c r="C2" s="487" t="str">
        <f>Criterios!A10 &amp;"  "&amp;Criterios!B10 &amp; "  " &amp; IF(NOT(ISBLANK(Criterios!A11)),Criterios!A11 &amp;"  "&amp;Criterios!B11,"")</f>
        <v>Provincias  MADRID  Resumenes por Partidos Judiciales  ARGANDA DEL REY</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269</v>
      </c>
      <c r="O9" s="333"/>
      <c r="P9" s="333"/>
      <c r="Q9" s="225">
        <f>IF(ISNUMBER(Datos!P9),Datos!P9,0)</f>
        <v>161</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172</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223</v>
      </c>
      <c r="AI9" s="224" t="str">
        <f>IF(ISNUMBER(Datos!CD9),Datos!CD9,"-")</f>
        <v>-</v>
      </c>
      <c r="AJ9" s="224" t="str">
        <f>IF(ISNUMBER(Datos!EN9),Datos!EN9," - ")</f>
        <v xml:space="preserve"> - </v>
      </c>
      <c r="AK9" s="333"/>
      <c r="AL9" s="478"/>
      <c r="AM9" s="224">
        <f>IF(ISNUMBER(Datos!R9),Datos!R9," - ")</f>
        <v>6605</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292</v>
      </c>
      <c r="BD9" s="228">
        <f>IF(ISNUMBER(Datos!N9),Datos!N9," - ")</f>
        <v>961</v>
      </c>
      <c r="BE9" s="224" t="str">
        <f>IF(ISNUMBER(Datos!BW9),Datos!BW9," - ")</f>
        <v xml:space="preserve"> - </v>
      </c>
      <c r="BF9" s="224" t="str">
        <f>IF(ISNUMBER(Datos!BX9),Datos!BX9," - ")</f>
        <v xml:space="preserve"> - </v>
      </c>
      <c r="BG9" s="242">
        <f>IF(ISNUMBER(IF(J_V="SI",Datos!K9/Datos!J9,(Datos!K9+Datos!AA9)/(Datos!J9+Datos!Z9))),IF(J_V="SI",Datos!K9/Datos!J9,(Datos!K9+Datos!AA9)/(Datos!J9+Datos!Z9))," - ")</f>
        <v>0.69233216671969455</v>
      </c>
      <c r="BH9" s="224">
        <f>IF(ISNUMBER(((IF(J_V="SI",Datos!L9/Datos!K9,(Datos!L9+Datos!AB9)/(Datos!K9+Datos!AA9)))*11)/factor_trimestre),((IF(J_V="SI",Datos!L9/Datos!K9,(Datos!L9+Datos!AB9)/(Datos!K9+Datos!AA9)))*11)/factor_trimestre," - ")</f>
        <v>16.497242647058826</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-1.6626360338573155E-3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1142.6635222771463</v>
      </c>
      <c r="CF9" s="228">
        <f ca="1">AVERAGEIFS($AB:$AB,$BW:$BW,BW9,$BX:$BX,BX9)</f>
        <v>1142.6635222771463</v>
      </c>
      <c r="CG9" s="1191">
        <v>0.7</v>
      </c>
      <c r="CH9" s="1191">
        <f ca="1">AVERAGEIF($BW:$BW,$BW9,$AC:$AC)</f>
        <v>115</v>
      </c>
      <c r="CI9" s="228">
        <f ca="1">AVERAGEIFS($AC:$AC,$BW:$BW,$BW9,$BX:$BX,$BX9)</f>
        <v>115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1546.2</v>
      </c>
      <c r="CR9" s="228">
        <f ca="1">AVERAGEIFS($AF:$AF,$BW:$BW,BW9,$BX:$BX,BX9)</f>
        <v>1546.2</v>
      </c>
      <c r="CS9" s="1191">
        <v>1.3</v>
      </c>
      <c r="CT9" s="1191">
        <v>1.5</v>
      </c>
      <c r="CU9" s="1191">
        <f ca="1">AVERAGEIF($BW:$BW,$BW9,$AH:$AH)</f>
        <v>120.75</v>
      </c>
      <c r="CV9" s="228">
        <f ca="1">AVERAGEIFS($AH:$AH,$BW:$BW,$BW9,$BX:$BX,$BX9)</f>
        <v>120.75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2932.75</v>
      </c>
      <c r="DH9" s="228">
        <f ca="1">AVERAGEIFS($AM:$AM,$BW:$BW,$BW9,$BX:$BX,$BX9)</f>
        <v>2932.75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7.8738646576369344</v>
      </c>
      <c r="ER9" s="228">
        <f ca="1">AVERAGEIFS($BH:$BH,$BW:$BW,$BW9,$BX:$BX,$BX9)</f>
        <v>7.8738646576369344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149</v>
      </c>
      <c r="G10" s="332">
        <f>IF(ISNUMBER(Datos!I10),Datos!I10," - ")</f>
        <v>149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19</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65</v>
      </c>
      <c r="AC10" s="224">
        <f>IF(ISNUMBER(Datos!Q10),Datos!Q10," - ")</f>
        <v>9</v>
      </c>
      <c r="AD10" s="224"/>
      <c r="AE10" s="224"/>
      <c r="AF10" s="224">
        <f>IF(ISNUMBER(Datos!L10),Datos!L10,"-")</f>
        <v>149</v>
      </c>
      <c r="AG10" s="333"/>
      <c r="AH10" s="224"/>
      <c r="AI10" s="224"/>
      <c r="AJ10" s="224"/>
      <c r="AK10" s="333"/>
      <c r="AL10" s="478"/>
      <c r="AM10" s="224">
        <f>IF(ISNUMBER(Datos!R10),Datos!R10," - ")</f>
        <v>78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21</v>
      </c>
      <c r="BD10" s="228">
        <f>IF(ISNUMBER(Datos!N10),Datos!N10," - ")</f>
        <v>26</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6.8769230769230774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0.14705882352941177</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1142.6635222771463</v>
      </c>
      <c r="CF10" s="228">
        <f ca="1">AVERAGEIFS($AB:$AB,$BW:$BW,BW10,$BX:$BX,BX10)</f>
        <v>1142.6635222771463</v>
      </c>
      <c r="CG10" s="1191">
        <v>0.7</v>
      </c>
      <c r="CH10" s="1191">
        <f ca="1">AVERAGEIF($BW:$BW,BW10,$AC:$AC)</f>
        <v>115</v>
      </c>
      <c r="CI10" s="228">
        <f ca="1">AVERAGEIFS($AC:$AC,$BW:$BW,BW10,$BX:$BX,BX10)</f>
        <v>115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1546.2</v>
      </c>
      <c r="CR10" s="228">
        <f ca="1">AVERAGEIFS($AF:$AF,$BW:$BW,BW10,$BX:$BX,BX10)</f>
        <v>1546.2</v>
      </c>
      <c r="CS10" s="1191">
        <v>1.3</v>
      </c>
      <c r="CT10" s="1191">
        <v>1.5</v>
      </c>
      <c r="CU10" s="1191">
        <f ca="1">AVERAGEIF($BW:$BW,$BW10,$AH:$AH)</f>
        <v>120.75</v>
      </c>
      <c r="CV10" s="228">
        <f ca="1">AVERAGEIFS($AH:$AH,$BW:$BW,$BW10,$BX:$BX,$BX10)</f>
        <v>120.75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2932.75</v>
      </c>
      <c r="DH10" s="228">
        <f ca="1">AVERAGEIFS($AM:$AM,$BW:$BW,$BW10,$BX:$BX,$BX10)</f>
        <v>2932.75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7.8738646576369344</v>
      </c>
      <c r="ER10" s="228">
        <f ca="1">AVERAGEIFS($BH:$BH,$BW:$BW,$BW10,$BX:$BX,$BX10)</f>
        <v>7.8738646576369344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1142.6635222771463</v>
      </c>
      <c r="CF11" s="228">
        <f ca="1">AVERAGEIFS($AB:$AB,$BW:$BW,BW11,$BX:$BX,BX11)</f>
        <v>1142.6635222771463</v>
      </c>
      <c r="CG11" s="1191">
        <v>0.7</v>
      </c>
      <c r="CH11" s="1191">
        <f ca="1">AVERAGEIF($BW:$BW,BW11,$AC:$AC)</f>
        <v>115</v>
      </c>
      <c r="CI11" s="228">
        <f ca="1">AVERAGEIFS($AC:$AC,$BW:$BW,BW11,$BX:$BX,BX11)</f>
        <v>115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1546.2</v>
      </c>
      <c r="CR11" s="228">
        <f ca="1">AVERAGEIFS($AF:$AF,$BW:$BW,BW11,$BX:$BX,BX11)</f>
        <v>1546.2</v>
      </c>
      <c r="CS11" s="1191">
        <v>1.3</v>
      </c>
      <c r="CT11" s="1191">
        <v>1.5</v>
      </c>
      <c r="CU11" s="1191">
        <f ca="1">AVERAGEIF($BW:$BW,$BW11,$AH:$AH)</f>
        <v>120.75</v>
      </c>
      <c r="CV11" s="228">
        <f ca="1">AVERAGEIFS($AH:$AH,$BW:$BW,$BW11,$BX:$BX,$BX11)</f>
        <v>120.75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2932.75</v>
      </c>
      <c r="DH11" s="228">
        <f ca="1">AVERAGEIFS($AM:$AM,$BW:$BW,$BW11,$BX:$BX,$BX11)</f>
        <v>2932.75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7.8738646576369344</v>
      </c>
      <c r="ER11" s="228">
        <f ca="1">AVERAGEIFS($BH:$BH,$BW:$BW,$BW11,$BX:$BX,$BX11)</f>
        <v>7.8738646576369344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52</v>
      </c>
      <c r="O12" s="333"/>
      <c r="P12" s="333"/>
      <c r="Q12" s="225">
        <f>IF(ISNUMBER(Datos!P12),Datos!P12,0)</f>
        <v>133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99</v>
      </c>
      <c r="AI12" s="224" t="str">
        <f>IF(ISNUMBER(Datos!CD12),Datos!CD12,"-")</f>
        <v>-</v>
      </c>
      <c r="AJ12" s="224" t="str">
        <f>IF(ISNUMBER(Datos!EN12),Datos!EN12," - ")</f>
        <v xml:space="preserve"> - </v>
      </c>
      <c r="AK12" s="333"/>
      <c r="AL12" s="478"/>
      <c r="AM12" s="224">
        <f>IF(ISNUMBER(Datos!R12),Datos!R12," - ")</f>
        <v>4531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115</v>
      </c>
      <c r="BD12" s="228">
        <f>IF(ISNUMBER(Datos!N12),Datos!N12," - ")</f>
        <v>259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1.7613365155131264</v>
      </c>
      <c r="BH12" s="224">
        <f>IF(ISNUMBER(((IF(J_V="SI",Datos!L12/Datos!K12,(Datos!L12+Datos!AB12)/(Datos!K12+Datos!AA12)))*11)/factor_trimestre),((IF(J_V="SI",Datos!L12/Datos!K12,(Datos!L12+Datos!AB12)/(Datos!K12+Datos!AA12)))*11)/factor_trimestre," - ")</f>
        <v>20.947154471544714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9.1314031180400896E-3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1142.6635222771463</v>
      </c>
      <c r="CF12" s="228">
        <f ca="1">AVERAGEIFS($AB:$AB,$BW:$BW,BW12,$BX:$BX,BX12)</f>
        <v>1142.6635222771463</v>
      </c>
      <c r="CG12" s="1191">
        <v>0.7</v>
      </c>
      <c r="CH12" s="1191">
        <f ca="1">AVERAGEIF($BW:$BW,BW12,$AC:$AC)</f>
        <v>115</v>
      </c>
      <c r="CI12" s="228">
        <f ca="1">AVERAGEIFS($AC:$AC,$BW:$BW,BW12,$BX:$BX,BX12)</f>
        <v>115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1546.2</v>
      </c>
      <c r="CR12" s="228">
        <f ca="1">AVERAGEIFS($AF:$AF,$BW:$BW,BW12,$BX:$BX,BX12)</f>
        <v>1546.2</v>
      </c>
      <c r="CS12" s="1191">
        <v>1.3</v>
      </c>
      <c r="CT12" s="1191">
        <v>1.5</v>
      </c>
      <c r="CU12" s="1191">
        <f ca="1">AVERAGEIF($BW:$BW,$BW12,$AH:$AH)</f>
        <v>120.75</v>
      </c>
      <c r="CV12" s="228">
        <f ca="1">AVERAGEIFS($AH:$AH,$BW:$BW,$BW12,$BX:$BX,$BX12)</f>
        <v>120.75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2932.75</v>
      </c>
      <c r="DH12" s="228">
        <f ca="1">AVERAGEIFS($AM:$AM,$BW:$BW,$BW12,$BX:$BX,$BX12)</f>
        <v>2932.75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7.8738646576369344</v>
      </c>
      <c r="ER12" s="228">
        <f ca="1">AVERAGEIFS($BH:$BH,$BW:$BW,$BW12,$BX:$BX,$BX12)</f>
        <v>7.8738646576369344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149</v>
      </c>
      <c r="G13" s="895">
        <f t="shared" si="1"/>
        <v>149</v>
      </c>
      <c r="H13" s="896">
        <f t="shared" si="1"/>
        <v>0</v>
      </c>
      <c r="I13" s="895">
        <f t="shared" si="1"/>
        <v>0</v>
      </c>
      <c r="J13" s="864">
        <f t="shared" si="1"/>
        <v>0</v>
      </c>
      <c r="K13" s="864">
        <f t="shared" si="1"/>
        <v>0</v>
      </c>
      <c r="L13" s="896">
        <f t="shared" si="1"/>
        <v>0</v>
      </c>
      <c r="M13" s="896">
        <f t="shared" si="1"/>
        <v>0</v>
      </c>
      <c r="N13" s="896">
        <f t="shared" si="1"/>
        <v>321</v>
      </c>
      <c r="O13" s="897">
        <f t="shared" si="1"/>
        <v>0</v>
      </c>
      <c r="P13" s="897">
        <f t="shared" si="1"/>
        <v>0</v>
      </c>
      <c r="Q13" s="896">
        <f t="shared" si="1"/>
        <v>313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65</v>
      </c>
      <c r="AC13" s="896">
        <f t="shared" si="2"/>
        <v>273</v>
      </c>
      <c r="AD13" s="896">
        <f t="shared" si="2"/>
        <v>0</v>
      </c>
      <c r="AE13" s="896">
        <f t="shared" si="2"/>
        <v>0</v>
      </c>
      <c r="AF13" s="896">
        <f t="shared" si="2"/>
        <v>149</v>
      </c>
      <c r="AG13" s="896">
        <f t="shared" si="2"/>
        <v>0</v>
      </c>
      <c r="AH13" s="896">
        <f t="shared" si="2"/>
        <v>322</v>
      </c>
      <c r="AI13" s="896">
        <f t="shared" si="2"/>
        <v>0</v>
      </c>
      <c r="AJ13" s="896">
        <f t="shared" si="2"/>
        <v>0</v>
      </c>
      <c r="AK13" s="896">
        <f t="shared" si="2"/>
        <v>0</v>
      </c>
      <c r="AL13" s="896">
        <f t="shared" si="2"/>
        <v>0</v>
      </c>
      <c r="AM13" s="896">
        <f t="shared" si="2"/>
        <v>11214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428</v>
      </c>
      <c r="BD13" s="896">
        <f t="shared" si="2"/>
        <v>1246</v>
      </c>
      <c r="BE13" s="896">
        <f t="shared" si="2"/>
        <v>0</v>
      </c>
      <c r="BF13" s="896">
        <f t="shared" si="2"/>
        <v>0</v>
      </c>
      <c r="BG13" s="896">
        <f>IF(ISNUMBER(Datos!K13/Datos!J13),Datos!K13/Datos!J13," - ")</f>
        <v>0.81125226860254085</v>
      </c>
      <c r="BH13" s="900">
        <f>IF(ISNUMBER(((Datos!L13/Datos!K13)*11)/factor_trimestre),((Datos!L13/Datos!K13)*11)/factor_trimestre," - ")</f>
        <v>18.955257270693512</v>
      </c>
      <c r="BI13" s="896">
        <f>IF(ISNUMBER('Resol  Asuntos'!D13/NºAsuntos!G13),'Resol  Asuntos'!D13/NºAsuntos!G13," - ")</f>
        <v>0.14367237327962404</v>
      </c>
      <c r="BJ13" s="896" t="str">
        <f>IF(ISNUMBER(Datos!CI13/Datos!CJ13),Datos!CI13/Datos!CJ13," - ")</f>
        <v xml:space="preserve"> - </v>
      </c>
      <c r="BK13" s="896">
        <f>SUBTOTAL(9,BK8:BK12)</f>
        <v>0</v>
      </c>
      <c r="BL13" s="896">
        <f>IF(ISNUMBER((I13-AB13+L13)/(F13)),(I13-AB13+L13)/(F13)," - ")</f>
        <v>-0.43624161073825501</v>
      </c>
      <c r="BM13" s="901">
        <f>SUBTOTAL(9,BM9:BM12)</f>
        <v>0.15452759061359453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4</v>
      </c>
      <c r="B15" s="593" t="s">
        <v>397</v>
      </c>
      <c r="C15" s="598" t="str">
        <f>Datos!A15</f>
        <v xml:space="preserve">Seccion Instruccion Del T.I.                   </v>
      </c>
      <c r="D15" s="599"/>
      <c r="E15" s="1160">
        <f>IF(ISNUMBER(Datos!AQ15),Datos!AQ15," - ")</f>
        <v>4</v>
      </c>
      <c r="F15" s="594">
        <f>IF(ISNUMBER(AF15+AB15-Datos!J15-L15),AF15+AB15-Datos!J15-L15," - ")</f>
        <v>2453</v>
      </c>
      <c r="G15" s="596">
        <f>IF(ISNUMBER(IF(D_I="SI",Datos!I15,Datos!I15+Datos!AC15)),IF(D_I="SI",Datos!I15,Datos!I15+Datos!AC15)," - ")</f>
        <v>2437</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58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2661</v>
      </c>
      <c r="AC15" s="224">
        <f>IF(ISNUMBER(Datos!Q15),Datos!Q15," - ")</f>
        <v>85</v>
      </c>
      <c r="AD15" s="224"/>
      <c r="AE15" s="224"/>
      <c r="AF15" s="224">
        <f>IF(ISNUMBER(IF(D_I="SI",Datos!L15,Datos!L15+Datos!AF15)),IF(D_I="SI",Datos!L15,Datos!L15+Datos!AF15)," - ")</f>
        <v>2522</v>
      </c>
      <c r="AG15" s="333"/>
      <c r="AH15" s="224"/>
      <c r="AI15" s="224"/>
      <c r="AJ15" s="224"/>
      <c r="AK15" s="333"/>
      <c r="AL15" s="478"/>
      <c r="AM15" s="224">
        <f>IF(ISNUMBER(Datos!R15),Datos!R15," - ")</f>
        <v>211</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298</v>
      </c>
      <c r="BD15" s="228">
        <f>IF(ISNUMBER(Datos!N15),Datos!N15," - ")</f>
        <v>1858</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0.9747252747252747</v>
      </c>
      <c r="BH15" s="224">
        <f>IF(ISNUMBER(((IF(D_I="SI",Datos!L15/Datos!K15,(Datos!L15+Datos!AF15)/(Datos!K15+Datos!AE15)))*11)/factor_trimestre),((IF(D_I="SI",Datos!L15/Datos!K15,(Datos!L15+Datos!AF15)/(Datos!K15+Datos!AE15)))*11)/factor_trimestre," - ")</f>
        <v>2.843291995490417</v>
      </c>
      <c r="BI15" s="242">
        <f>IF(ISNUMBER('Resol  Asuntos'!D15/NºAsuntos!G15),'Resol  Asuntos'!D15/NºAsuntos!G15," - ")</f>
        <v>0.11198797444569711</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1142.6635222771463</v>
      </c>
      <c r="CF15" s="228">
        <f ca="1">AVERAGEIFS($AB:$AB,$BW:$BW,BW15,$BX:$BX,BX15)</f>
        <v>1142.6635222771463</v>
      </c>
      <c r="CG15" s="1191">
        <v>0.7</v>
      </c>
      <c r="CH15" s="1191">
        <f ca="1">AVERAGEIF($BW:$BW,BW15,$AC:$AC)</f>
        <v>115</v>
      </c>
      <c r="CI15" s="228">
        <f ca="1">AVERAGEIFS($AC:$AC,$BW:$BW,BW15,$BX:$BX,BX15)</f>
        <v>115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1546.2</v>
      </c>
      <c r="CR15" s="228">
        <f ca="1">AVERAGEIFS($AF:$AF,$BW:$BW,BW15,$BX:$BX,BX15)</f>
        <v>1546.2</v>
      </c>
      <c r="CS15" s="1191">
        <v>1.3</v>
      </c>
      <c r="CT15" s="1191">
        <v>1.5</v>
      </c>
      <c r="CU15" s="1191">
        <f ca="1">AVERAGEIF($BW:$BW,$BW15,$AH:$AH)</f>
        <v>120.75</v>
      </c>
      <c r="CV15" s="228">
        <f ca="1">AVERAGEIFS($AH:$AH,$BW:$BW,$BW15,$BX:$BX,$BX15)</f>
        <v>120.75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2932.75</v>
      </c>
      <c r="DH15" s="228">
        <f ca="1">AVERAGEIFS($AM:$AM,$BW:$BW,$BW15,$BX:$BX,$BX15)</f>
        <v>2932.75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7.8738646576369344</v>
      </c>
      <c r="ER15" s="228">
        <f ca="1">AVERAGEIFS($BH:$BH,$BW:$BW,$BW15,$BX:$BX,$BX15)</f>
        <v>7.8738646576369344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1142.6635222771463</v>
      </c>
      <c r="CF16" s="228">
        <f ca="1">AVERAGEIFS($AB:$AB,$BW:$BW,BW16,$BX:$BX,BX16)</f>
        <v>1142.6635222771463</v>
      </c>
      <c r="CG16" s="1191">
        <v>0.7</v>
      </c>
      <c r="CH16" s="1191">
        <f ca="1">AVERAGEIF($BW:$BW,BW16,$AC:$AC)</f>
        <v>115</v>
      </c>
      <c r="CI16" s="228">
        <f ca="1">AVERAGEIFS($AC:$AC,$BW:$BW,BW16,$BX:$BX,BX16)</f>
        <v>115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1546.2</v>
      </c>
      <c r="CR16" s="228">
        <f ca="1">AVERAGEIFS($AF:$AF,$BW:$BW,BW16,$BX:$BX,BX16)</f>
        <v>1546.2</v>
      </c>
      <c r="CS16" s="1191">
        <v>1.3</v>
      </c>
      <c r="CT16" s="1191">
        <v>1.5</v>
      </c>
      <c r="CU16" s="1191">
        <f ca="1">AVERAGEIF($BW:$BW,$BW16,$AH:$AH)</f>
        <v>120.75</v>
      </c>
      <c r="CV16" s="228">
        <f ca="1">AVERAGEIFS($AH:$AH,$BW:$BW,$BW16,$BX:$BX,$BX16)</f>
        <v>120.75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2932.75</v>
      </c>
      <c r="DH16" s="228">
        <f ca="1">AVERAGEIFS($AM:$AM,$BW:$BW,$BW16,$BX:$BX,$BX16)</f>
        <v>2932.75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7.8738646576369344</v>
      </c>
      <c r="ER16" s="228">
        <f ca="1">AVERAGEIFS($BH:$BH,$BW:$BW,$BW16,$BX:$BX,$BX16)</f>
        <v>7.8738646576369344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2516</v>
      </c>
      <c r="G17" s="596">
        <f>IF(ISNUMBER(IF(D_I="SI",Datos!I17,Datos!I17+Datos!AC17)),IF(D_I="SI",Datos!I17,Datos!I17+Datos!AC17)," - ")</f>
        <v>2496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553</v>
      </c>
      <c r="AC17" s="224">
        <f>IF(ISNUMBER(Datos!Q17),Datos!Q17," - ")</f>
        <v>94</v>
      </c>
      <c r="AD17" s="224"/>
      <c r="AE17" s="224"/>
      <c r="AF17" s="224">
        <f>IF(ISNUMBER(IF(D_I="SI",Datos!L17,Datos!L17+Datos!AF17)),IF(D_I="SI",Datos!L17,Datos!L17+Datos!AF17)," - ")</f>
        <v>2168</v>
      </c>
      <c r="AG17" s="333"/>
      <c r="AH17" s="224"/>
      <c r="AI17" s="224"/>
      <c r="AJ17" s="224"/>
      <c r="AK17" s="333"/>
      <c r="AL17" s="478"/>
      <c r="AM17" s="224">
        <f>IF(ISNUMBER(Datos!R17),Datos!R17," - ")</f>
        <v>300</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84</v>
      </c>
      <c r="BD17" s="228">
        <f>IF(ISNUMBER(Datos!N17),Datos!N17," - ")</f>
        <v>280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2.6975609756097563</v>
      </c>
      <c r="BH17" s="224">
        <f>IF(ISNUMBER(((IF(D_I="SI",Datos!L17/Datos!K17,(Datos!L17+Datos!AF17)/(Datos!K17+Datos!AE17)))*11)/factor_trimestre),((IF(D_I="SI",Datos!L17/Datos!K17,(Datos!L17+Datos!AF17)/(Datos!K17+Datos!AE17)))*11)/factor_trimestre," - ")</f>
        <v>11.761301989150091</v>
      </c>
      <c r="BI17" s="242">
        <f>IF(ISNUMBER('Resol  Asuntos'!D17/NºAsuntos!G17),'Resol  Asuntos'!D17/NºAsuntos!G17," - ")</f>
        <v>0.15189873417721519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1142.6635222771463</v>
      </c>
      <c r="CF17" s="228">
        <f ca="1">AVERAGEIFS($AB:$AB,$BW:$BW,BW17,$BX:$BX,BX17)</f>
        <v>1142.6635222771463</v>
      </c>
      <c r="CG17" s="1191">
        <v>0.7</v>
      </c>
      <c r="CH17" s="1191">
        <f ca="1">AVERAGEIF($BW:$BW,BW17,$AC:$AC)</f>
        <v>115</v>
      </c>
      <c r="CI17" s="228">
        <f ca="1">AVERAGEIFS($AC:$AC,$BW:$BW,BW17,$BX:$BX,BX17)</f>
        <v>115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1546.2</v>
      </c>
      <c r="CR17" s="228">
        <f ca="1">AVERAGEIFS($AF:$AF,$BW:$BW,BW17,$BX:$BX,BX17)</f>
        <v>1546.2</v>
      </c>
      <c r="CS17" s="1191">
        <v>1.3</v>
      </c>
      <c r="CT17" s="1191">
        <v>1.5</v>
      </c>
      <c r="CU17" s="1191">
        <f ca="1">AVERAGEIF($BW:$BW,$BW17,$AH:$AH)</f>
        <v>120.75</v>
      </c>
      <c r="CV17" s="228">
        <f ca="1">AVERAGEIFS($AH:$AH,$BW:$BW,$BW17,$BX:$BX,$BX17)</f>
        <v>120.75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2932.75</v>
      </c>
      <c r="DH17" s="228">
        <f ca="1">AVERAGEIFS($AM:$AM,$BW:$BW,$BW17,$BX:$BX,$BX17)</f>
        <v>2932.75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7.8738646576369344</v>
      </c>
      <c r="ER17" s="228">
        <f ca="1">AVERAGEIFS($BH:$BH,$BW:$BW,$BW17,$BX:$BX,$BX17)</f>
        <v>7.8738646576369344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331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403</v>
      </c>
      <c r="AC18" s="224">
        <f>IF(ISNUMBER(Datos!Q18),Datos!Q18," - ")</f>
        <v>8</v>
      </c>
      <c r="AD18" s="224"/>
      <c r="AE18" s="224"/>
      <c r="AF18" s="224">
        <f>IF(ISNUMBER(Datos!L18),Datos!L18,"-")</f>
        <v>315</v>
      </c>
      <c r="AG18" s="333"/>
      <c r="AH18" s="224"/>
      <c r="AI18" s="224"/>
      <c r="AJ18" s="224"/>
      <c r="AK18" s="333"/>
      <c r="AL18" s="478"/>
      <c r="AM18" s="224">
        <f>IF(ISNUMBER(Datos!R18),Datos!R18," - ")</f>
        <v>6</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20</v>
      </c>
      <c r="BD18" s="228">
        <f>IF(ISNUMBER(Datos!N18),Datos!N18," - ")</f>
        <v>265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1.0577427821522309</v>
      </c>
      <c r="BH18" s="224">
        <f>IF(ISNUMBER(((IF(D_I="SI",Datos!L18/Datos!K18,(Datos!L18+Datos!AF18)/(Datos!K18+Datos!AE18)))*11)/factor_trimestre),((IF(D_I="SI",Datos!L18/Datos!K18,(Datos!L18+Datos!AF18)/(Datos!K18+Datos!AE18)))*11)/factor_trimestre," - ")</f>
        <v>2.3449131513647647</v>
      </c>
      <c r="BI18" s="242">
        <f>IF(ISNUMBER('Resol  Asuntos'!D18/NºAsuntos!G18),'Resol  Asuntos'!D18/NºAsuntos!G18," - ")</f>
        <v>4.9627791563275438E-2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1142.6635222771463</v>
      </c>
      <c r="CF18" s="228">
        <f ca="1">AVERAGEIFS($AB:$AB,$BW:$BW,BW18,$BX:$BX,BX18)</f>
        <v>1142.6635222771463</v>
      </c>
      <c r="CG18" s="1191">
        <v>0.7</v>
      </c>
      <c r="CH18" s="1191">
        <f ca="1">AVERAGEIF($BW:$BW,BW18,$AC:$AC)</f>
        <v>115</v>
      </c>
      <c r="CI18" s="228">
        <f ca="1">AVERAGEIFS($AC:$AC,$BW:$BW,BW18,$BX:$BX,BX18)</f>
        <v>115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1546.2</v>
      </c>
      <c r="CR18" s="228">
        <f ca="1">AVERAGEIFS($AF:$AF,$BW:$BW,BW18,$BX:$BX,BX18)</f>
        <v>1546.2</v>
      </c>
      <c r="CS18" s="1191">
        <v>1.3</v>
      </c>
      <c r="CT18" s="1191">
        <v>1.5</v>
      </c>
      <c r="CU18" s="1191">
        <f ca="1">AVERAGEIF($BW:$BW,$BW18,$AH:$AH)</f>
        <v>120.75</v>
      </c>
      <c r="CV18" s="228">
        <f ca="1">AVERAGEIFS($AH:$AH,$BW:$BW,$BW18,$BX:$BX,$BX18)</f>
        <v>120.75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2932.75</v>
      </c>
      <c r="DH18" s="228">
        <f ca="1">AVERAGEIFS($AM:$AM,$BW:$BW,$BW18,$BX:$BX,$BX18)</f>
        <v>2932.75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7.8738646576369344</v>
      </c>
      <c r="ER18" s="228">
        <f ca="1">AVERAGEIFS($BH:$BH,$BW:$BW,$BW18,$BX:$BX,$BX18)</f>
        <v>7.8738646576369344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6</v>
      </c>
      <c r="F19" s="895">
        <f>SUBTOTAL(9,F15:F18)</f>
        <v>4969</v>
      </c>
      <c r="G19" s="895">
        <f>SUBTOTAL(9,G15:G18)</f>
        <v>5264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141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3617</v>
      </c>
      <c r="AC19" s="896">
        <f t="shared" si="5"/>
        <v>187</v>
      </c>
      <c r="AD19" s="896">
        <f t="shared" si="5"/>
        <v>0</v>
      </c>
      <c r="AE19" s="896">
        <f t="shared" si="5"/>
        <v>0</v>
      </c>
      <c r="AF19" s="896">
        <f t="shared" si="5"/>
        <v>5005</v>
      </c>
      <c r="AG19" s="896">
        <f t="shared" si="5"/>
        <v>0</v>
      </c>
      <c r="AH19" s="896">
        <f t="shared" si="5"/>
        <v>0</v>
      </c>
      <c r="AI19" s="896">
        <f t="shared" si="5"/>
        <v>0</v>
      </c>
      <c r="AJ19" s="896">
        <f t="shared" si="5"/>
        <v>0</v>
      </c>
      <c r="AK19" s="896">
        <f t="shared" si="5"/>
        <v>0</v>
      </c>
      <c r="AL19" s="896">
        <f t="shared" si="5"/>
        <v>0</v>
      </c>
      <c r="AM19" s="896">
        <f t="shared" si="5"/>
        <v>517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402</v>
      </c>
      <c r="BD19" s="896">
        <f t="shared" si="5"/>
        <v>2403</v>
      </c>
      <c r="BE19" s="896">
        <f t="shared" si="5"/>
        <v>0</v>
      </c>
      <c r="BF19" s="896">
        <f t="shared" si="5"/>
        <v>0</v>
      </c>
      <c r="BG19" s="896">
        <f>IF(ISNUMBER(Datos!K19/Datos!J19),Datos!K19/Datos!J19," - ")</f>
        <v>1.0907720144752715</v>
      </c>
      <c r="BH19" s="900">
        <f>IF(ISNUMBER(((Datos!L19/Datos!K19)*11)/factor_trimestre),((Datos!L19/Datos!K19)*11)/factor_trimestre," - ")</f>
        <v>4.1512303013547136</v>
      </c>
      <c r="BI19" s="896">
        <f>SUBTOTAL(9,BI15:BI18)</f>
        <v>0.31351450018618776</v>
      </c>
      <c r="BJ19" s="896">
        <f>SUBTOTAL(9,BJ15:BJ18)</f>
        <v>0</v>
      </c>
      <c r="BK19" s="896">
        <f>SUBTOTAL(9,BK15:BK18)</f>
        <v>0</v>
      </c>
      <c r="BL19" s="896">
        <f>IF(ISNUMBER((I19-AB19+L19)/(F19)),(I19-AB19+L19)/(F19)," - ")</f>
        <v>-0.72791306097806396</v>
      </c>
      <c r="BM19" s="902">
        <f>IF(ISNUMBER((Datos!P19-Datos!Q19)/(Datos!R19-Datos!P19+Datos!Q19)),(Datos!P19-Datos!Q19)/(Datos!R19-Datos!P19+Datos!Q19)," - ")</f>
        <v>-8.1705150976909419E-2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14</v>
      </c>
      <c r="F20" s="817">
        <f t="shared" si="7"/>
        <v>5118</v>
      </c>
      <c r="G20" s="817">
        <f t="shared" si="7"/>
        <v>5413</v>
      </c>
      <c r="H20" s="819">
        <f t="shared" si="7"/>
        <v>0</v>
      </c>
      <c r="I20" s="817">
        <f t="shared" si="7"/>
        <v>0</v>
      </c>
      <c r="J20" s="819">
        <f t="shared" si="7"/>
        <v>0</v>
      </c>
      <c r="K20" s="819">
        <f t="shared" si="7"/>
        <v>0</v>
      </c>
      <c r="L20" s="878">
        <f t="shared" si="7"/>
        <v>0</v>
      </c>
      <c r="M20" s="878">
        <f t="shared" si="7"/>
        <v>0</v>
      </c>
      <c r="N20" s="878">
        <f t="shared" si="7"/>
        <v>321</v>
      </c>
      <c r="O20" s="878">
        <f t="shared" si="7"/>
        <v>0</v>
      </c>
      <c r="P20" s="878">
        <f t="shared" si="7"/>
        <v>0</v>
      </c>
      <c r="Q20" s="819">
        <f t="shared" si="7"/>
        <v>454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3682</v>
      </c>
      <c r="AC20" s="818">
        <f t="shared" si="8"/>
        <v>460</v>
      </c>
      <c r="AD20" s="818">
        <f t="shared" si="8"/>
        <v>0</v>
      </c>
      <c r="AE20" s="818">
        <f t="shared" si="8"/>
        <v>0</v>
      </c>
      <c r="AF20" s="825">
        <f t="shared" si="8"/>
        <v>5154</v>
      </c>
      <c r="AG20" s="825">
        <f t="shared" si="8"/>
        <v>0</v>
      </c>
      <c r="AH20" s="825">
        <f t="shared" si="8"/>
        <v>322</v>
      </c>
      <c r="AI20" s="825">
        <f t="shared" si="8"/>
        <v>0</v>
      </c>
      <c r="AJ20" s="818">
        <f t="shared" si="8"/>
        <v>0</v>
      </c>
      <c r="AK20" s="825">
        <f t="shared" si="8"/>
        <v>0</v>
      </c>
      <c r="AL20" s="825">
        <f t="shared" si="8"/>
        <v>0</v>
      </c>
      <c r="AM20" s="825">
        <f t="shared" si="8"/>
        <v>11731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830</v>
      </c>
      <c r="BD20" s="817">
        <f t="shared" si="8"/>
        <v>3649</v>
      </c>
      <c r="BE20" s="817">
        <f t="shared" si="8"/>
        <v>0</v>
      </c>
      <c r="BF20" s="827">
        <f t="shared" si="8"/>
        <v>0</v>
      </c>
      <c r="BG20" s="912">
        <f>IF(ISNUMBER(Datos!K20/Datos!J20),Datos!K20/Datos!J20," - ")</f>
        <v>0.95122319540924194</v>
      </c>
      <c r="BH20" s="912">
        <f>IF(ISNUMBER(((Datos!L20/Datos!K20)*11)/factor_trimestre),((Datos!L20/Datos!K20)*11)/factor_trimestre," - ")</f>
        <v>10.45451658993491</v>
      </c>
      <c r="BI20" s="810">
        <f>IF(ISNUMBER(Datos!J20/Datos!I20),Datos!J20/Datos!I20," - ")</f>
        <v>0.30962734371347078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-0.7194216490816725</v>
      </c>
      <c r="BM20" s="886">
        <f>IF(ISNUMBER((Datos!P20-Datos!Q20+R20)/(Datos!R20-Datos!P20+Datos!Q20-R20)),(Datos!P20-Datos!Q20+R20)/(Datos!R20-Datos!P20+Datos!Q20-R20)," - ")</f>
        <v>-5.1120388514952714E-4</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1804.3333333333333</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3.011090610836324</v>
      </c>
      <c r="F22" s="550">
        <f>IF(ISNUMBER(STDEV(F8:F19)),STDEV(F8:F19),"-")</f>
        <v>2007.9646909246189</v>
      </c>
      <c r="G22" s="551">
        <f>IF(ISNUMBER(STDEV(G8:G19)),STDEV(G8:G19),"-")</f>
        <v>2024.7928947590335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1523.2987450486089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167.13040246637183</v>
      </c>
      <c r="BD22" s="550"/>
      <c r="BE22" s="550">
        <f>IF(ISNUMBER(STDEV(BE8:BE19)),STDEV(BE8:BE19),"-")</f>
        <v>0</v>
      </c>
      <c r="BF22" s="555">
        <f>IF(ISNUMBER(STDEV(BF8:BF19)),STDEV(BF8:BF19),"-")</f>
        <v>0</v>
      </c>
      <c r="BG22" s="772">
        <f>IF(ISNUMBER(STDEV(BG8:BG19)),STDEV(BG8:BG19),"-")</f>
        <v>0.66117480131288575</v>
      </c>
      <c r="BH22" s="773">
        <f>IF(ISNUMBER(STDEV(BH8:BH19)),STDEV(BH8:BH19),"-")</f>
        <v>7.528409055765108</v>
      </c>
      <c r="BI22" s="248">
        <f>IF(ISNUMBER(STDEV(BI8:BI19)),STDEV(BI8:BI19),"-")</f>
        <v>9.7742545446593096E-2</v>
      </c>
      <c r="BJ22" s="986" t="str">
        <f>IF(ISNUMBER(BL22/BM22),BL22/BM22," - ")</f>
        <v xml:space="preserve"> - </v>
      </c>
      <c r="BK22" s="574"/>
      <c r="BL22" s="558">
        <f>IF(ISNUMBER(STDEV(BL8:BL19)),STDEV(BL8:BL19),"-")</f>
        <v>0.20624286034308376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IumO362xStzO21CStAJ0pEckpIE9wgXMesL5aewvY/tH/ukcEDsMxZM5kq+IgWAEXCSUZCCkID5P01zDWFweSA==" saltValue="CrfCQ8btA36wY0OrLcdAw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MADRID</v>
      </c>
    </row>
    <row r="2" spans="1:146" ht="16.5" customHeight="1">
      <c r="C2" s="487" t="str">
        <f>Criterios!A10 &amp;"  "&amp;Criterios!B10 &amp; "  " &amp; IF(NOT(ISBLANK(Criterios!A11)),Criterios!A11 &amp;"  "&amp;Criterios!B11,"")</f>
        <v>Provincias  MADRID  Resumenes por Partidos Judiciales  ARGANDA DEL REY</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0.14367237327962404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0.1015917094151871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ypTmA3lr0N+wG5iYC98/5fmwLPbiRy1gJvWpW4SREiXhyfbJ89t6/s+oKwPQ2Zu3+8NcPqNZAucPaC9/y4Jpg==" saltValue="VseX+cNvb7fVN3SU0uXs2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MADRID</v>
      </c>
      <c r="B4" s="787" t="str">
        <f>IF(Criterios!B10=0,"",Criterios!B10)</f>
        <v>MADRID</v>
      </c>
      <c r="C4" s="787" t="str">
        <f>IF(Criterios!B11=0,"",Criterios!B11)</f>
        <v>ARGANDA DEL REY</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Vuooxj7Jk63nVXF4F5ffOBkWh/X/sf+znwcuY4K2IFnAJVA6PM+DAYoLnzxZWTU6aMKuwXSct49JffsSylbVw==" saltValue="ue5Im6c4Z/zjO1Q7N1v/E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